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tables/table3.xml" ContentType="application/vnd.openxmlformats-officedocument.spreadsheetml.table+xml"/>
  <Override PartName="/xl/worksheets/sheet6.xml" ContentType="application/vnd.openxmlformats-officedocument.spreadsheetml.worksheet+xml"/>
  <Override PartName="/xl/drawings/drawing6.xml" ContentType="application/vnd.openxmlformats-officedocument.drawing+xml"/>
  <Override PartName="/xl/tables/table4.xml" ContentType="application/vnd.openxmlformats-officedocument.spreadsheetml.table+xml"/>
  <Override PartName="/xl/worksheets/sheet7.xml" ContentType="application/vnd.openxmlformats-officedocument.spreadsheetml.worksheet+xml"/>
  <Override PartName="/xl/drawings/drawing7.xml" ContentType="application/vnd.openxmlformats-officedocument.drawing+xml"/>
  <Override PartName="/xl/drawings/charts/chart1.xml" ContentType="application/vnd.openxmlformats-officedocument.drawingml.chart+xml"/>
  <Override PartName="/xl/tables/table5.xml" ContentType="application/vnd.openxmlformats-officedocument.spreadsheetml.table+xml"/>
  <Override PartName="/xl/worksheets/sheet8.xml" ContentType="application/vnd.openxmlformats-officedocument.spreadsheetml.worksheet+xml"/>
  <Override PartName="/xl/drawings/drawing8.xml" ContentType="application/vnd.openxmlformats-officedocument.drawing+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drawings/charts/chart5.xml" ContentType="application/vnd.openxmlformats-officedocument.drawingml.chart+xml"/>
  <Override PartName="/xl/worksheets/sheet12.xml" ContentType="application/vnd.openxmlformats-officedocument.spreadsheetml.worksheet+xml"/>
  <Override PartName="/xl/drawings/drawing12.xml" ContentType="application/vnd.openxmlformats-officedocument.drawing+xml"/>
  <Override PartName="/xl/drawings/charts/chart6.xml" ContentType="application/vnd.openxmlformats-officedocument.drawingml.chart+xml"/>
  <Override PartName="/xl/worksheets/sheet13.xml" ContentType="application/vnd.openxmlformats-officedocument.spreadsheetml.worksheet+xml"/>
  <Override PartName="/xl/drawings/drawing13.xml" ContentType="application/vnd.openxmlformats-officedocument.drawing+xml"/>
  <Override PartName="/xl/drawings/charts/chart7.xml" ContentType="application/vnd.openxmlformats-officedocument.drawingml.chart+xml"/>
  <Override PartName="/xl/drawings/charts/chart8.xml" ContentType="application/vnd.openxmlformats-officedocument.drawingml.char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3899d760b0a34114" /></Relationships>
</file>

<file path=xl/workbook.xml><?xml version="1.0" encoding="utf-8"?>
<x:workbook xmlns:x="http://schemas.openxmlformats.org/spreadsheetml/2006/main">
  <x:sheets>
    <x:sheet xmlns:r="http://schemas.openxmlformats.org/officeDocument/2006/relationships" name="Read Me" sheetId="1" r:id="Rbe3d3c314cf744f5"/>
    <x:sheet xmlns:r="http://schemas.openxmlformats.org/officeDocument/2006/relationships" name="Risk Register" sheetId="2" r:id="R5fc06a7a1d3f4699"/>
    <x:sheet xmlns:r="http://schemas.openxmlformats.org/officeDocument/2006/relationships" name="Incident Report" sheetId="3" r:id="R293c868310084bdb"/>
    <x:sheet xmlns:r="http://schemas.openxmlformats.org/officeDocument/2006/relationships" name="Risk Matrix" sheetId="4" r:id="Ra66ba3334bc444e4"/>
    <x:sheet xmlns:r="http://schemas.openxmlformats.org/officeDocument/2006/relationships" name="KRI Monitoring" sheetId="5" r:id="Rd42732e08a414a4a"/>
    <x:sheet xmlns:r="http://schemas.openxmlformats.org/officeDocument/2006/relationships" name="Credit Monitoring" sheetId="6" r:id="Rfd2483cf3d6a4502"/>
    <x:sheet xmlns:r="http://schemas.openxmlformats.org/officeDocument/2006/relationships" name="Liquidity Monitoring" sheetId="7" r:id="Rd66a350dd8a141ed"/>
    <x:sheet xmlns:r="http://schemas.openxmlformats.org/officeDocument/2006/relationships" name="ERM Dashboard" sheetId="8" r:id="R152f8948338a41f5"/>
    <x:sheet xmlns:r="http://schemas.openxmlformats.org/officeDocument/2006/relationships" name="Checks" sheetId="9" r:id="Rb79d8bbfd57a44db"/>
    <x:sheet xmlns:r="http://schemas.openxmlformats.org/officeDocument/2006/relationships" name="Dashboard Data" sheetId="10" r:id="Rf83950c8284e408c"/>
    <x:sheet xmlns:r="http://schemas.openxmlformats.org/officeDocument/2006/relationships" name="Counterparty Assessment" sheetId="11" r:id="R5a54b58095004189"/>
    <x:sheet xmlns:r="http://schemas.openxmlformats.org/officeDocument/2006/relationships" name="Credit Comparison" sheetId="12" r:id="R014bf38ba9a04f05"/>
    <x:sheet xmlns:r="http://schemas.openxmlformats.org/officeDocument/2006/relationships" name="ICS Dashboard" sheetId="13" r:id="Rc950187b57964883"/>
  </x:sheets>
</x:workbook>
</file>

<file path=xl/sharedStrings.xml><?xml version="1.0" encoding="utf-8"?>
<x:sst xmlns:x="http://schemas.openxmlformats.org/spreadsheetml/2006/main"/>
</file>

<file path=xl/styles.xml><?xml version="1.0" encoding="utf-8"?>
<x:styleSheet xmlns:x="http://schemas.openxmlformats.org/spreadsheetml/2006/main">
  <x:numFmts count="14">
    <x:numFmt numFmtId="200" formatCode="0"/>
    <x:numFmt numFmtId="201" formatCode="yyyy-mm-dd"/>
    <x:numFmt numFmtId="202" formatCode="yyyy-mm-dd hh:mm"/>
    <x:numFmt numFmtId="203" formatCode="£#,##0;[Red](£#,##0);-"/>
    <x:numFmt numFmtId="204" formatCode="0.0"/>
    <x:numFmt numFmtId="205" formatCode="0.0%"/>
    <x:numFmt numFmtId="206" formatCode="0.000%"/>
    <x:numFmt numFmtId="207" formatCode="£#,##0"/>
    <x:numFmt numFmtId="208" formatCode="0.00%"/>
    <x:numFmt numFmtId="209" formatCode="dd-mmm"/>
    <x:numFmt numFmtId="210" formatCode="dd-mmm-yyyy"/>
    <x:numFmt numFmtId="211" formatCode="0.00"/>
    <x:numFmt numFmtId="212" formatCode="0%"/>
    <x:numFmt numFmtId="213" formatCode="0.00x"/>
  </x:numFmts>
  <x:fonts count="80">
    <x:font>
      <x:sz val="11"/>
      <x:name val="Carlito"/>
    </x:font>
    <x:font>
      <x:b/>
      <x:sz val="20"/>
      <x:color rgb="FFFFFFFF"/>
      <x:name val="Carlito"/>
    </x:font>
    <x:font>
      <x:sz val="10"/>
      <x:color rgb="FFBFD4DF"/>
      <x:name val="Carlito"/>
    </x:font>
    <x:font>
      <x:b/>
      <x:sz val="14"/>
      <x:color rgb="FF07131F"/>
      <x:name val="Carlito"/>
    </x:font>
    <x:font>
      <x:sz val="11"/>
      <x:color rgb="FF102334"/>
      <x:name val="Carlito"/>
    </x:font>
    <x:font>
      <x:b/>
      <x:sz val="10"/>
      <x:name val="Carlito"/>
    </x:font>
    <x:font>
      <x:sz val="10"/>
      <x:color rgb="FF647B88"/>
      <x:name val="Carlito"/>
    </x:font>
    <x:font>
      <x:b/>
      <x:sz val="10"/>
      <x:color rgb="FF0000FF"/>
      <x:name val="Carlito"/>
    </x:font>
    <x:font>
      <x:b/>
      <x:sz val="10"/>
      <x:color rgb="FF000000"/>
      <x:name val="Carlito"/>
    </x:font>
    <x:font>
      <x:b/>
      <x:sz val="10"/>
      <x:color rgb="FF008000"/>
      <x:name val="Carlito"/>
    </x:font>
    <x:font>
      <x:b/>
      <x:sz val="13"/>
      <x:color rgb="FFFFFFFF"/>
      <x:name val="Carlito"/>
    </x:font>
    <x:font>
      <x:b/>
      <x:sz val="11"/>
      <x:color rgb="FF117E78"/>
      <x:name val="Carlito"/>
    </x:font>
    <x:font>
      <x:sz val="9"/>
      <x:color rgb="FF647B88"/>
      <x:name val="Carlito"/>
    </x:font>
    <x:font>
      <x:i/>
      <x:sz val="9"/>
      <x:color rgb="FF9A3412"/>
      <x:name val="Carlito"/>
    </x:font>
    <x:font>
      <x:sz val="9"/>
      <x:color rgb="FFBFD4DF"/>
      <x:name val="Carlito"/>
    </x:font>
    <x:font>
      <x:b/>
      <x:sz val="11"/>
      <x:color rgb="FF102334"/>
      <x:name val="Carlito"/>
    </x:font>
    <x:font>
      <x:b/>
      <x:sz val="15"/>
      <x:color rgb="FF117E78"/>
      <x:name val="Carlito"/>
    </x:font>
    <x:font>
      <x:b/>
      <x:sz val="9"/>
      <x:color rgb="FFFFFFFF"/>
      <x:name val="Carlito"/>
    </x:font>
    <x:font>
      <x:sz val="9"/>
      <x:color rgb="FF102334"/>
      <x:name val="Carlito"/>
    </x:font>
    <x:font>
      <x:sz val="9"/>
      <x:color rgb="FF0000FF"/>
      <x:name val="Carlito"/>
    </x:font>
    <x:font>
      <x:sz val="9"/>
      <x:color rgb="FF000000"/>
      <x:name val="Carlito"/>
    </x:font>
    <x:font>
      <x:b/>
      <x:sz val="12"/>
      <x:color rgb="FF07131F"/>
      <x:name val="Carlito"/>
    </x:font>
    <x:font>
      <x:b/>
      <x:sz val="13"/>
      <x:color rgb="FF102334"/>
      <x:name val="Carlito"/>
    </x:font>
    <x:font>
      <x:b/>
      <x:sz val="15"/>
      <x:color rgb="FF102334"/>
      <x:name val="Carlito"/>
    </x:font>
    <x:font>
      <x:b/>
      <x:sz val="12"/>
      <x:color rgb="FFFFFFFF"/>
      <x:name val="Carlito"/>
    </x:font>
    <x:font>
      <x:b/>
      <x:sz val="11"/>
      <x:color rgb="FF07131F"/>
      <x:name val="Carlito"/>
    </x:font>
    <x:font>
      <x:b/>
      <x:sz val="10"/>
      <x:color rgb="FFBFD4DF"/>
      <x:name val="Carlito"/>
    </x:font>
    <x:font>
      <x:b/>
      <x:sz val="22"/>
      <x:color rgb="FF117E78"/>
      <x:name val="Carlito"/>
    </x:font>
    <x:font>
      <x:b/>
      <x:sz val="22"/>
      <x:color rgb="FF008000"/>
      <x:name val="Carlito"/>
    </x:font>
    <x:font>
      <x:sz val="9"/>
      <x:color rgb="FF008000"/>
      <x:name val="Carlito"/>
    </x:font>
    <x:font>
      <x:sz val="8"/>
      <x:color rgb="FF647B88"/>
      <x:name val="Carlito"/>
    </x:font>
    <x:font>
      <x:i/>
      <x:sz val="10"/>
      <x:color rgb="FF526173"/>
      <x:name val="Carlito"/>
    </x:font>
    <x:font>
      <x:b/>
      <x:sz val="11"/>
      <x:color rgb="FFFFFFFF"/>
      <x:name val="Carlito"/>
    </x:font>
    <x:font>
      <x:sz val="10"/>
      <x:color rgb="FF172033"/>
      <x:name val="Carlito"/>
    </x:font>
    <x:font>
      <x:b/>
      <x:sz val="10"/>
      <x:color rgb="FF1D4ED8"/>
      <x:name val="Carlito"/>
    </x:font>
    <x:font>
      <x:b/>
      <x:sz val="10"/>
      <x:color rgb="FF172033"/>
      <x:name val="Carlito"/>
    </x:font>
    <x:font>
      <x:b/>
      <x:sz val="10"/>
      <x:color rgb="FF15803D"/>
      <x:name val="Carlito"/>
    </x:font>
    <x:font>
      <x:b/>
      <x:sz val="11"/>
      <x:color rgb="FF0B1F33"/>
      <x:name val="Carlito"/>
    </x:font>
    <x:font>
      <x:sz val="9"/>
      <x:color rgb="FF526173"/>
      <x:name val="Carlito"/>
    </x:font>
    <x:font>
      <x:b/>
      <x:sz val="10"/>
      <x:color rgb="FF9A3412"/>
      <x:name val="Carlito"/>
    </x:font>
    <x:font>
      <x:i/>
      <x:sz val="9"/>
      <x:color rgb="FF526173"/>
      <x:name val="Carlito"/>
    </x:font>
    <x:font>
      <x:sz val="9"/>
      <x:color rgb="FFFFFFFF"/>
      <x:name val="Carlito"/>
    </x:font>
    <x:font>
      <x:b/>
      <x:sz val="10"/>
      <x:color rgb="FFFFFFFF"/>
      <x:name val="Carlito"/>
    </x:font>
    <x:font>
      <x:sz val="10"/>
      <x:color rgb="FF15803D"/>
      <x:name val="Carlito"/>
    </x:font>
    <x:font>
      <x:sz val="10"/>
      <x:color rgb="FF1D4ED8"/>
      <x:name val="Carlito"/>
    </x:font>
    <x:font>
      <x:b/>
      <x:sz val="10"/>
      <x:color rgb="FF0B1F33"/>
      <x:name val="Carlito"/>
    </x:font>
    <x:font>
      <x:b/>
      <x:sz val="22"/>
      <x:color rgb="FF0B1F33"/>
      <x:name val="Carlito"/>
    </x:font>
    <x:font>
      <x:b/>
      <x:sz val="13"/>
      <x:color rgb="FF0B1F33"/>
      <x:name val="Carlito"/>
    </x:font>
    <x:font>
      <x:sz val="9"/>
      <x:color rgb="FF15803D"/>
      <x:name val="Carlito"/>
    </x:font>
    <x:font>
      <x:b/>
      <x:sz val="9"/>
      <x:color rgb="FF0B1F33"/>
      <x:name val="Carlito"/>
    </x:font>
    <x:font>
      <x:sz val="9"/>
      <x:color rgb="FF1D4ED8"/>
      <x:name val="Carlito"/>
    </x:font>
    <x:font>
      <x:sz val="11"/>
      <x:color rgb="FF1D4ED8"/>
      <x:name val="Carlito"/>
    </x:font>
    <x:font>
      <x:b/>
      <x:sz val="16"/>
      <x:color rgb="FF0B1F33"/>
      <x:name val="Carlito"/>
    </x:font>
    <x:font>
      <x:b/>
      <x:sz val="12"/>
      <x:color rgb="FF0B1F33"/>
      <x:name val="Carlito"/>
    </x:font>
    <x:font>
      <x:b/>
      <x:sz val="15"/>
      <x:color rgb="FF0B1F33"/>
      <x:name val="Carlito"/>
    </x:font>
    <x:font>
      <x:b/>
      <x:sz val="9"/>
      <x:color rgb="FF9A3412"/>
      <x:name val="Carlito"/>
    </x:font>
    <x:font>
      <x:i/>
      <x:sz val="10"/>
      <x:color rgb="FF5B7180"/>
      <x:name val="Carlito"/>
    </x:font>
    <x:font>
      <x:b/>
      <x:sz val="11"/>
      <x:color rgb="FF173344"/>
      <x:name val="Carlito"/>
    </x:font>
    <x:font>
      <x:b/>
      <x:sz val="11"/>
      <x:color rgb="FF1D4ED8"/>
      <x:name val="Carlito"/>
    </x:font>
    <x:font>
      <x:b/>
      <x:sz val="12"/>
      <x:color rgb="FF173344"/>
      <x:name val="Carlito"/>
    </x:font>
    <x:font>
      <x:b/>
      <x:sz val="18"/>
      <x:color rgb="FF238461"/>
      <x:name val="Carlito"/>
    </x:font>
    <x:font>
      <x:sz val="9"/>
      <x:color rgb="FF173344"/>
      <x:name val="Carlito"/>
    </x:font>
    <x:font>
      <x:b/>
      <x:sz val="9"/>
      <x:color rgb="FF238461"/>
      <x:name val="Carlito"/>
    </x:font>
    <x:font>
      <x:sz val="11"/>
      <x:color rgb="FF173344"/>
      <x:name val="Carlito"/>
    </x:font>
    <x:font>
      <x:b/>
      <x:sz val="11"/>
      <x:color rgb="FF238461"/>
      <x:name val="Carlito"/>
    </x:font>
    <x:font>
      <x:b/>
      <x:sz val="9"/>
      <x:color rgb="FF9A421E"/>
      <x:name val="Carlito"/>
    </x:font>
    <x:font>
      <x:b/>
      <x:sz val="20"/>
      <x:color rgb="FFFFFFFF"/>
      <x:name val="Aptos"/>
    </x:font>
    <x:font>
      <x:sz val="11"/>
      <x:name val="Aptos"/>
    </x:font>
    <x:font>
      <x:i/>
      <x:sz val="10"/>
      <x:color rgb="FF5B7180"/>
      <x:name val="Aptos"/>
    </x:font>
    <x:font>
      <x:b/>
      <x:sz val="11"/>
      <x:color rgb="FF173344"/>
      <x:name val="Aptos"/>
    </x:font>
    <x:font>
      <x:b/>
      <x:sz val="11"/>
      <x:color rgb="FF1D4ED8"/>
      <x:name val="Aptos"/>
    </x:font>
    <x:font>
      <x:b/>
      <x:sz val="9"/>
      <x:color rgb="FFFFFFFF"/>
      <x:name val="Aptos"/>
    </x:font>
    <x:font>
      <x:b/>
      <x:sz val="11"/>
      <x:color rgb="FFFFFFFF"/>
      <x:name val="Aptos"/>
    </x:font>
    <x:font>
      <x:b/>
      <x:sz val="12"/>
      <x:color rgb="FF173344"/>
      <x:name val="Aptos"/>
    </x:font>
    <x:font>
      <x:b/>
      <x:sz val="18"/>
      <x:color rgb="FF238461"/>
      <x:name val="Aptos"/>
    </x:font>
    <x:font>
      <x:sz val="9"/>
      <x:color rgb="FF173344"/>
      <x:name val="Aptos"/>
    </x:font>
    <x:font>
      <x:b/>
      <x:sz val="9"/>
      <x:color rgb="FF238461"/>
      <x:name val="Aptos"/>
    </x:font>
    <x:font>
      <x:sz val="11"/>
      <x:color rgb="FF173344"/>
      <x:name val="Aptos"/>
    </x:font>
    <x:font>
      <x:b/>
      <x:sz val="11"/>
      <x:color rgb="FF238461"/>
      <x:name val="Aptos"/>
    </x:font>
    <x:font>
      <x:b/>
      <x:sz val="9"/>
      <x:color rgb="FF9A421E"/>
      <x:name val="Aptos"/>
    </x:font>
  </x:fonts>
  <x:fills count="40">
    <x:fill>
      <x:patternFill patternType="none"/>
    </x:fill>
    <x:fill>
      <x:patternFill patternType="gray125"/>
    </x:fill>
    <x:fill>
      <x:patternFill patternType="solid">
        <x:fgColor rgb="FF07131F"/>
      </x:patternFill>
    </x:fill>
    <x:fill>
      <x:patternFill patternType="solid">
        <x:fgColor rgb="FF0C2638"/>
      </x:patternFill>
    </x:fill>
    <x:fill>
      <x:patternFill patternType="solid">
        <x:fgColor rgb="FFE8F3F5"/>
      </x:patternFill>
    </x:fill>
    <x:fill>
      <x:patternFill patternType="solid">
        <x:fgColor rgb="FFFFFFFF"/>
      </x:patternFill>
    </x:fill>
    <x:fill>
      <x:patternFill patternType="solid">
        <x:fgColor rgb="FFFEF3C7"/>
      </x:patternFill>
    </x:fill>
    <x:fill>
      <x:patternFill patternType="solid">
        <x:fgColor rgb="FFEAF6F5"/>
      </x:patternFill>
    </x:fill>
    <x:fill>
      <x:patternFill patternType="solid">
        <x:fgColor rgb="FFFFF7ED"/>
      </x:patternFill>
    </x:fill>
    <x:fill>
      <x:patternFill patternType="solid">
        <x:fgColor rgb="FFF5F9FB"/>
      </x:patternFill>
    </x:fill>
    <x:fill>
      <x:patternFill patternType="solid">
        <x:fgColor rgb="FF117E78"/>
      </x:patternFill>
    </x:fill>
    <x:fill>
      <x:patternFill patternType="solid">
        <x:fgColor rgb="FFF7FAFC"/>
      </x:patternFill>
    </x:fill>
    <x:fill>
      <x:patternFill patternType="solid">
        <x:fgColor rgb="FFD7E5EA"/>
      </x:patternFill>
    </x:fill>
    <x:fill>
      <x:patternFill patternType="solid">
        <x:fgColor rgb="FFBBF7D0"/>
      </x:patternFill>
    </x:fill>
    <x:fill>
      <x:patternFill patternType="solid">
        <x:fgColor rgb="FFFEF08A"/>
      </x:patternFill>
    </x:fill>
    <x:fill>
      <x:patternFill patternType="solid">
        <x:fgColor rgb="FFFED7AA"/>
      </x:patternFill>
    </x:fill>
    <x:fill>
      <x:patternFill patternType="solid">
        <x:fgColor rgb="FFFCA5A5"/>
      </x:patternFill>
    </x:fill>
    <x:fill>
      <x:patternFill patternType="solid">
        <x:fgColor rgb="FF0B1F33"/>
      </x:patternFill>
    </x:fill>
    <x:fill>
      <x:patternFill patternType="solid">
        <x:fgColor rgb="FFE8F3F5"/>
      </x:patternFill>
    </x:fill>
    <x:fill>
      <x:patternFill patternType="solid">
        <x:fgColor rgb="FF075E67"/>
      </x:patternFill>
    </x:fill>
    <x:fill>
      <x:patternFill patternType="solid">
        <x:fgColor rgb="FFF4F8FA"/>
      </x:patternFill>
    </x:fill>
    <x:fill>
      <x:patternFill patternType="solid">
        <x:fgColor rgb="FFFDE68A"/>
      </x:patternFill>
    </x:fill>
    <x:fill>
      <x:patternFill patternType="solid">
        <x:fgColor rgb="FFDCEFF1"/>
      </x:patternFill>
    </x:fill>
    <x:fill>
      <x:patternFill patternType="solid">
        <x:fgColor rgb="FFFFF7ED"/>
      </x:patternFill>
    </x:fill>
    <x:fill>
      <x:patternFill patternType="solid">
        <x:fgColor rgb="FF087E8B"/>
      </x:patternFill>
    </x:fill>
    <x:fill>
      <x:patternFill patternType="solid">
        <x:fgColor rgb="FFFDBA74"/>
      </x:patternFill>
    </x:fill>
    <x:fill>
      <x:patternFill patternType="solid">
        <x:fgColor rgb="FFFCA5A5"/>
      </x:patternFill>
    </x:fill>
    <x:fill>
      <x:patternFill patternType="solid">
        <x:fgColor rgb="FFB7E4C7"/>
      </x:patternFill>
    </x:fill>
    <x:fill>
      <x:patternFill patternType="solid">
        <x:fgColor rgb="FFEFF6FF"/>
      </x:patternFill>
    </x:fill>
    <x:fill>
      <x:patternFill patternType="solid">
        <x:fgColor rgb="FF0B2030"/>
      </x:patternFill>
    </x:fill>
    <x:fill>
      <x:patternFill patternType="solid">
        <x:fgColor rgb="FFE6F1F4"/>
      </x:patternFill>
    </x:fill>
    <x:fill>
      <x:patternFill patternType="solid">
        <x:fgColor rgb="FFFFFFFF"/>
      </x:patternFill>
    </x:fill>
    <x:fill>
      <x:patternFill patternType="solid">
        <x:fgColor rgb="FFDCECEF"/>
      </x:patternFill>
    </x:fill>
    <x:fill>
      <x:patternFill patternType="solid">
        <x:fgColor rgb="FFEEF5FF"/>
      </x:patternFill>
    </x:fill>
    <x:fill>
      <x:patternFill patternType="solid">
        <x:fgColor rgb="FF0B6F73"/>
      </x:patternFill>
    </x:fill>
    <x:fill>
      <x:patternFill patternType="solid">
        <x:fgColor rgb="FFF4F8FA"/>
      </x:patternFill>
    </x:fill>
    <x:fill>
      <x:patternFill patternType="solid">
        <x:fgColor rgb="FFDFF3E9"/>
      </x:patternFill>
    </x:fill>
    <x:fill>
      <x:patternFill patternType="solid">
        <x:fgColor rgb="FF0D8790"/>
      </x:patternFill>
    </x:fill>
    <x:fill>
      <x:patternFill patternType="solid">
        <x:fgColor rgb="FFE6F6EF"/>
      </x:patternFill>
    </x:fill>
    <x:fill>
      <x:patternFill patternType="solid">
        <x:fgColor rgb="FFFFF6E8"/>
      </x:patternFill>
    </x:fill>
  </x:fills>
  <x:borders count="68">
    <x:border/>
    <x:border>
      <x:left style="thin">
        <x:color rgb="FFD7E5EA"/>
      </x:left>
      <x:top style="thin">
        <x:color rgb="FFD7E5EA"/>
      </x:top>
    </x:border>
    <x:border>
      <x:top style="thin">
        <x:color rgb="FFD7E5EA"/>
      </x:top>
    </x:border>
    <x:border>
      <x:right style="thin">
        <x:color rgb="FFD7E5EA"/>
      </x:right>
      <x:top style="thin">
        <x:color rgb="FFD7E5EA"/>
      </x:top>
    </x:border>
    <x:border>
      <x:left style="thin">
        <x:color rgb="FFD7E5EA"/>
      </x:left>
    </x:border>
    <x:border>
      <x:right style="thin">
        <x:color rgb="FFD7E5EA"/>
      </x:right>
    </x:border>
    <x:border>
      <x:left style="thin">
        <x:color rgb="FFD7E5EA"/>
      </x:left>
      <x:bottom style="thin">
        <x:color rgb="FFD7E5EA"/>
      </x:bottom>
    </x:border>
    <x:border>
      <x:bottom style="thin">
        <x:color rgb="FFD7E5EA"/>
      </x:bottom>
    </x:border>
    <x:border>
      <x:right style="thin">
        <x:color rgb="FFD7E5EA"/>
      </x:right>
      <x:bottom style="thin">
        <x:color rgb="FFD7E5EA"/>
      </x:bottom>
    </x:border>
    <x:border>
      <x:left style="thin">
        <x:color rgb="FFD7E5EA"/>
      </x:left>
      <x:top style="thin">
        <x:color rgb="FFD7E5EA"/>
      </x:top>
      <x:bottom style="thin">
        <x:color rgb="FFD7E5EA"/>
      </x:bottom>
    </x:border>
    <x:border>
      <x:top style="thin">
        <x:color rgb="FFD7E5EA"/>
      </x:top>
      <x:bottom style="thin">
        <x:color rgb="FFD7E5EA"/>
      </x:bottom>
    </x:border>
    <x:border>
      <x:right style="thin">
        <x:color rgb="FFD7E5EA"/>
      </x:right>
      <x:top style="thin">
        <x:color rgb="FFD7E5EA"/>
      </x:top>
      <x:bottom style="thin">
        <x:color rgb="FFD7E5EA"/>
      </x:bottom>
    </x:border>
    <x:border>
      <x:left style="thin">
        <x:color rgb="FFFDBA74"/>
      </x:left>
      <x:top style="thin">
        <x:color rgb="FFFDBA74"/>
      </x:top>
    </x:border>
    <x:border>
      <x:top style="thin">
        <x:color rgb="FFFDBA74"/>
      </x:top>
    </x:border>
    <x:border>
      <x:right style="thin">
        <x:color rgb="FFFDBA74"/>
      </x:right>
      <x:top style="thin">
        <x:color rgb="FFFDBA74"/>
      </x:top>
    </x:border>
    <x:border>
      <x:left style="thin">
        <x:color rgb="FFFDBA74"/>
      </x:left>
    </x:border>
    <x:border>
      <x:right style="thin">
        <x:color rgb="FFFDBA74"/>
      </x:right>
    </x:border>
    <x:border>
      <x:left style="thin">
        <x:color rgb="FFFDBA74"/>
      </x:left>
      <x:bottom style="thin">
        <x:color rgb="FFFDBA74"/>
      </x:bottom>
    </x:border>
    <x:border>
      <x:bottom style="thin">
        <x:color rgb="FFFDBA74"/>
      </x:bottom>
    </x:border>
    <x:border>
      <x:right style="thin">
        <x:color rgb="FFFDBA74"/>
      </x:right>
      <x:bottom style="thin">
        <x:color rgb="FFFDBA74"/>
      </x:bottom>
    </x:border>
    <x:border>
      <x:right style="thin">
        <x:color rgb="FF7ECAC4"/>
      </x:right>
    </x:border>
    <x:border>
      <x:left style="thin">
        <x:color rgb="FF7ECAC4"/>
      </x:left>
      <x:right style="thin">
        <x:color rgb="FF7ECAC4"/>
      </x:right>
    </x:border>
    <x:border>
      <x:left style="thin">
        <x:color rgb="FF7ECAC4"/>
      </x:left>
    </x:border>
    <x:border>
      <x:bottom style="thin">
        <x:color rgb="FFE5EDF1"/>
      </x:bottom>
    </x:border>
    <x:border>
      <x:top style="thin">
        <x:color rgb="FFE5EDF1"/>
      </x:top>
      <x:bottom style="thin">
        <x:color rgb="FFE5EDF1"/>
      </x:bottom>
    </x:border>
    <x:border>
      <x:top style="thin">
        <x:color rgb="FFE5EDF1"/>
      </x:top>
      <x:bottom style="thin">
        <x:color rgb="FFD5E2E8"/>
      </x:bottom>
    </x:border>
    <x:border>
      <x:left style="thin">
        <x:color rgb="FFFFFFFF"/>
      </x:left>
      <x:right style="thin">
        <x:color rgb="FFFFFFFF"/>
      </x:right>
      <x:top style="thin">
        <x:color rgb="FFFFFFFF"/>
      </x:top>
      <x:bottom style="thin">
        <x:color rgb="FFFFFFFF"/>
      </x:bottom>
    </x:border>
    <x:border>
      <x:left style="thin">
        <x:color rgb="FFD7E5EA"/>
      </x:left>
      <x:right style="thin">
        <x:color rgb="FFD7E5EA"/>
      </x:right>
      <x:top style="thin">
        <x:color rgb="FFD7E5EA"/>
      </x:top>
      <x:bottom style="thin">
        <x:color rgb="FFD7E5EA"/>
      </x:bottom>
    </x:border>
    <x:border>
      <x:left style="thin">
        <x:color rgb="FFD7E5EA"/>
      </x:left>
      <x:right style="thin">
        <x:color rgb="FFD7E5EA"/>
      </x:right>
      <x:bottom style="thin">
        <x:color rgb="FFD7E5EA"/>
      </x:bottom>
    </x:border>
    <x:border>
      <x:left style="thin">
        <x:color rgb="FFD7E5EA"/>
      </x:left>
      <x:right style="thin">
        <x:color rgb="FFD7E5EA"/>
      </x:right>
      <x:top style="thin">
        <x:color rgb="FFD7E5EA"/>
      </x:top>
    </x:border>
    <x:border>
      <x:left style="thin">
        <x:color rgb="FF23465A"/>
      </x:left>
      <x:top style="thin">
        <x:color rgb="FF23465A"/>
      </x:top>
      <x:bottom style="thin">
        <x:color rgb="FF23465A"/>
      </x:bottom>
    </x:border>
    <x:border>
      <x:top style="thin">
        <x:color rgb="FF23465A"/>
      </x:top>
      <x:bottom style="thin">
        <x:color rgb="FF23465A"/>
      </x:bottom>
    </x:border>
    <x:border>
      <x:right style="thin">
        <x:color rgb="FF23465A"/>
      </x:right>
      <x:top style="thin">
        <x:color rgb="FF23465A"/>
      </x:top>
      <x:bottom style="thin">
        <x:color rgb="FF23465A"/>
      </x:bottom>
    </x:border>
    <x:border>
      <x:left style="thin">
        <x:color rgb="FF075E67"/>
      </x:left>
      <x:right style="thin">
        <x:color rgb="FF075E67"/>
      </x:right>
      <x:top style="thin">
        <x:color rgb="FF075E67"/>
      </x:top>
      <x:bottom style="thin">
        <x:color rgb="FF075E67"/>
      </x:bottom>
    </x:border>
    <x:border>
      <x:left style="thin">
        <x:color rgb="FFCBD5E1"/>
      </x:left>
      <x:top style="thin">
        <x:color rgb="FFCBD5E1"/>
      </x:top>
    </x:border>
    <x:border>
      <x:top style="thin">
        <x:color rgb="FFCBD5E1"/>
      </x:top>
    </x:border>
    <x:border>
      <x:right style="thin">
        <x:color rgb="FFCBD5E1"/>
      </x:right>
      <x:top style="thin">
        <x:color rgb="FFCBD5E1"/>
      </x:top>
    </x:border>
    <x:border>
      <x:left style="thin">
        <x:color rgb="FFCBD5E1"/>
      </x:left>
    </x:border>
    <x:border>
      <x:right style="thin">
        <x:color rgb="FFCBD5E1"/>
      </x:right>
    </x:border>
    <x:border>
      <x:left style="thin">
        <x:color rgb="FFCBD5E1"/>
      </x:left>
      <x:bottom style="thin">
        <x:color rgb="FFCBD5E1"/>
      </x:bottom>
    </x:border>
    <x:border>
      <x:bottom style="thin">
        <x:color rgb="FFCBD5E1"/>
      </x:bottom>
    </x:border>
    <x:border>
      <x:right style="thin">
        <x:color rgb="FFCBD5E1"/>
      </x:right>
      <x:bottom style="thin">
        <x:color rgb="FFCBD5E1"/>
      </x:bottom>
    </x:border>
    <x:border>
      <x:left style="thin">
        <x:color rgb="FFCBD5E1"/>
      </x:left>
      <x:right style="thin">
        <x:color rgb="FFCBD5E1"/>
      </x:right>
      <x:top style="thin">
        <x:color rgb="FFCBD5E1"/>
      </x:top>
      <x:bottom style="thin">
        <x:color rgb="FFCBD5E1"/>
      </x:bottom>
    </x:border>
    <x:border>
      <x:left style="thin">
        <x:color rgb="FFCBD5E1"/>
      </x:left>
      <x:top style="thin">
        <x:color rgb="FFCBD5E1"/>
      </x:top>
      <x:bottom style="thin">
        <x:color rgb="FFCBD5E1"/>
      </x:bottom>
    </x:border>
    <x:border>
      <x:top style="thin">
        <x:color rgb="FFCBD5E1"/>
      </x:top>
      <x:bottom style="thin">
        <x:color rgb="FFCBD5E1"/>
      </x:bottom>
    </x:border>
    <x:border>
      <x:right style="thin">
        <x:color rgb="FFCBD5E1"/>
      </x:right>
      <x:top style="thin">
        <x:color rgb="FFCBD5E1"/>
      </x:top>
      <x:bottom style="thin">
        <x:color rgb="FFCBD5E1"/>
      </x:bottom>
    </x:border>
    <x:border>
      <x:left/>
      <x:top/>
      <x:bottom/>
    </x:border>
    <x:border>
      <x:top/>
      <x:bottom/>
    </x:border>
    <x:border>
      <x:right/>
      <x:top/>
      <x:bottom/>
    </x:border>
    <x:border>
      <x:left/>
      <x:top/>
    </x:border>
    <x:border>
      <x:right/>
      <x:top/>
    </x:border>
    <x:border>
      <x:left/>
    </x:border>
    <x:border>
      <x:right/>
    </x:border>
    <x:border>
      <x:left/>
      <x:bottom/>
    </x:border>
    <x:border>
      <x:right/>
      <x:bottom/>
    </x:border>
    <x:border>
      <x:top/>
    </x:border>
    <x:border>
      <x:bottom/>
    </x:border>
    <x:border>
      <x:left/>
      <x:right/>
      <x:top/>
    </x:border>
    <x:border>
      <x:left/>
      <x:right/>
    </x:border>
    <x:border>
      <x:left/>
      <x:right/>
      <x:bottom/>
    </x:border>
    <x:border>
      <x:left/>
      <x:top/>
    </x:border>
    <x:border>
      <x:top/>
    </x:border>
    <x:border>
      <x:right/>
      <x:top/>
    </x:border>
    <x:border>
      <x:left/>
    </x:border>
    <x:border>
      <x:right/>
    </x:border>
    <x:border>
      <x:left/>
      <x:bottom/>
    </x:border>
    <x:border>
      <x:bottom/>
    </x:border>
    <x:border>
      <x:right/>
      <x:bottom/>
    </x:border>
  </x:borders>
  <x:cellStyleXfs count="1">
    <x:xf numFmtId="0" fontId="0" fillId="0" borderId="0"/>
  </x:cellStyleXfs>
  <x:cellXfs count="94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1" xfId="0" applyNumberFormat="1" applyFont="1" applyFill="1" applyBorder="1" applyAlignment="1">
      <x:alignment wrapText="1"/>
    </x:xf>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4"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1" xfId="0" applyNumberFormat="1" applyFont="1" applyFill="1" applyBorder="1" applyAlignment="1">
      <x:alignment vertical="top" wrapText="1"/>
    </x:xf>
    <x:xf numFmtId="0" fontId="4" fillId="5" borderId="2" xfId="0" applyNumberFormat="1" applyFont="1" applyFill="1" applyBorder="1" applyAlignment="1">
      <x:alignment vertical="top" wrapText="1"/>
    </x:xf>
    <x:xf numFmtId="0" fontId="4" fillId="5" borderId="3" xfId="0" applyNumberFormat="1" applyFont="1" applyFill="1" applyBorder="1" applyAlignment="1">
      <x:alignment vertical="top" wrapText="1"/>
    </x:xf>
    <x:xf numFmtId="0" fontId="4" fillId="5" borderId="4"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5" xfId="0" applyNumberFormat="1" applyFont="1" applyFill="1" applyBorder="1" applyAlignment="1">
      <x:alignment vertical="top" wrapText="1"/>
    </x:xf>
    <x:xf numFmtId="0" fontId="4" fillId="5" borderId="6" xfId="0" applyNumberFormat="1" applyFont="1" applyFill="1" applyBorder="1" applyAlignment="1">
      <x:alignment vertical="top" wrapText="1"/>
    </x:xf>
    <x:xf numFmtId="0" fontId="4" fillId="5" borderId="7" xfId="0" applyNumberFormat="1" applyFont="1" applyFill="1" applyBorder="1" applyAlignment="1">
      <x:alignment vertical="top" wrapText="1"/>
    </x:xf>
    <x:xf numFmtId="0" fontId="4" fillId="5" borderId="8" xfId="0" applyNumberFormat="1" applyFont="1" applyFill="1" applyBorder="1" applyAlignment="1">
      <x:alignment vertical="top" wrapText="1"/>
    </x:xf>
    <x:xf numFmtId="0" fontId="5" fillId="0" borderId="0" xfId="0" applyNumberFormat="1" applyFont="1" applyFill="1" applyBorder="1"/>
    <x:xf numFmtId="0" fontId="6" fillId="0" borderId="0" xfId="0" applyNumberFormat="1" applyFont="1" applyFill="1" applyBorder="1"/>
    <x:xf numFmtId="0" fontId="7" fillId="0" borderId="0" xfId="0" applyNumberFormat="1" applyFont="1" applyFill="1" applyBorder="1"/>
    <x:xf numFmtId="0" fontId="8" fillId="0" borderId="0" xfId="0" applyNumberFormat="1" applyFont="1" applyFill="1" applyBorder="1"/>
    <x:xf numFmtId="0" fontId="9" fillId="0" borderId="0" xfId="0" applyNumberFormat="1" applyFont="1" applyFill="1" applyBorder="1"/>
    <x:xf numFmtId="0" fontId="5" fillId="6" borderId="0" xfId="0" applyNumberFormat="1" applyFont="1" applyFill="1" applyBorder="1"/>
    <x:xf numFmtId="0" fontId="7" fillId="0" borderId="1" xfId="0" applyNumberFormat="1" applyFont="1" applyFill="1" applyBorder="1"/>
    <x:xf numFmtId="0" fontId="6" fillId="0" borderId="3" xfId="0" applyNumberFormat="1" applyFont="1" applyFill="1" applyBorder="1"/>
    <x:xf numFmtId="0" fontId="8" fillId="0" borderId="4" xfId="0" applyNumberFormat="1" applyFont="1" applyFill="1" applyBorder="1"/>
    <x:xf numFmtId="0" fontId="6" fillId="0" borderId="5" xfId="0" applyNumberFormat="1" applyFont="1" applyFill="1" applyBorder="1"/>
    <x:xf numFmtId="0" fontId="9" fillId="0" borderId="4" xfId="0" applyNumberFormat="1" applyFont="1" applyFill="1" applyBorder="1"/>
    <x:xf numFmtId="0" fontId="5" fillId="6" borderId="6" xfId="0" applyNumberFormat="1" applyFont="1" applyFill="1" applyBorder="1"/>
    <x:xf numFmtId="0" fontId="6" fillId="0" borderId="8" xfId="0" applyNumberFormat="1" applyFont="1" applyFill="1" applyBorder="1"/>
    <x:xf numFmtId="0" fontId="10" fillId="3" borderId="0" xfId="0" applyNumberFormat="1" applyFont="1" applyFill="1" applyBorder="1"/>
    <x:xf numFmtId="0" fontId="0" fillId="7" borderId="0" xfId="0" applyNumberFormat="1" applyFont="1" applyFill="1" applyBorder="1"/>
    <x:xf numFmtId="0" fontId="11" fillId="7" borderId="0" xfId="0" applyNumberFormat="1" applyFont="1" applyFill="1" applyBorder="1"/>
    <x:xf numFmtId="0" fontId="11" fillId="7" borderId="9" xfId="0" applyNumberFormat="1" applyFont="1" applyFill="1" applyBorder="1"/>
    <x:xf numFmtId="0" fontId="11" fillId="7" borderId="10" xfId="0" applyNumberFormat="1" applyFont="1" applyFill="1" applyBorder="1"/>
    <x:xf numFmtId="0" fontId="11" fillId="7" borderId="11" xfId="0" applyNumberFormat="1" applyFont="1" applyFill="1" applyBorder="1"/>
    <x:xf numFmtId="0" fontId="12" fillId="5" borderId="0" xfId="0" applyNumberFormat="1" applyFont="1" applyFill="1" applyBorder="1"/>
    <x:xf numFmtId="0" fontId="12" fillId="5" borderId="9" xfId="0" applyNumberFormat="1" applyFont="1" applyFill="1" applyBorder="1"/>
    <x:xf numFmtId="0" fontId="12" fillId="5" borderId="10" xfId="0" applyNumberFormat="1" applyFont="1" applyFill="1" applyBorder="1"/>
    <x:xf numFmtId="0" fontId="12" fillId="5" borderId="11" xfId="0" applyNumberFormat="1" applyFont="1" applyFill="1" applyBorder="1"/>
    <x:xf numFmtId="0" fontId="12" fillId="5" borderId="9" xfId="0" applyNumberFormat="1" applyFont="1" applyFill="1" applyBorder="1" applyAlignment="1">
      <x:alignment wrapText="1"/>
    </x:xf>
    <x:xf numFmtId="0" fontId="12" fillId="5" borderId="10" xfId="0" applyNumberFormat="1" applyFont="1" applyFill="1" applyBorder="1" applyAlignment="1">
      <x:alignment wrapText="1"/>
    </x:xf>
    <x:xf numFmtId="0" fontId="12" fillId="5" borderId="11" xfId="0" applyNumberFormat="1" applyFont="1" applyFill="1" applyBorder="1" applyAlignment="1">
      <x:alignment wrapText="1"/>
    </x:xf>
    <x:xf numFmtId="0" fontId="0" fillId="8" borderId="0" xfId="0" applyNumberFormat="1" applyFont="1" applyFill="1" applyBorder="1"/>
    <x:xf numFmtId="0" fontId="13" fillId="8" borderId="0" xfId="0" applyNumberFormat="1" applyFont="1" applyFill="1" applyBorder="1"/>
    <x:xf numFmtId="0" fontId="13" fillId="8" borderId="12" xfId="0" applyNumberFormat="1" applyFont="1" applyFill="1" applyBorder="1"/>
    <x:xf numFmtId="0" fontId="13" fillId="8" borderId="13" xfId="0" applyNumberFormat="1" applyFont="1" applyFill="1" applyBorder="1"/>
    <x:xf numFmtId="0" fontId="13" fillId="8" borderId="14" xfId="0" applyNumberFormat="1" applyFont="1" applyFill="1" applyBorder="1"/>
    <x:xf numFmtId="0" fontId="13" fillId="8" borderId="15" xfId="0" applyNumberFormat="1" applyFont="1" applyFill="1" applyBorder="1"/>
    <x:xf numFmtId="0" fontId="13" fillId="8" borderId="16" xfId="0" applyNumberFormat="1" applyFont="1" applyFill="1" applyBorder="1"/>
    <x:xf numFmtId="0" fontId="13" fillId="8" borderId="17" xfId="0" applyNumberFormat="1" applyFont="1" applyFill="1" applyBorder="1"/>
    <x:xf numFmtId="0" fontId="13" fillId="8" borderId="18" xfId="0" applyNumberFormat="1" applyFont="1" applyFill="1" applyBorder="1"/>
    <x:xf numFmtId="0" fontId="13" fillId="8" borderId="19" xfId="0" applyNumberFormat="1" applyFont="1" applyFill="1" applyBorder="1"/>
    <x:xf numFmtId="0" fontId="13" fillId="8" borderId="12" xfId="0" applyNumberFormat="1" applyFont="1" applyFill="1" applyBorder="1" applyAlignment="1">
      <x:alignment wrapText="1"/>
    </x:xf>
    <x:xf numFmtId="0" fontId="13" fillId="8" borderId="13" xfId="0" applyNumberFormat="1" applyFont="1" applyFill="1" applyBorder="1" applyAlignment="1">
      <x:alignment wrapText="1"/>
    </x:xf>
    <x:xf numFmtId="0" fontId="13" fillId="8" borderId="14" xfId="0" applyNumberFormat="1" applyFont="1" applyFill="1" applyBorder="1" applyAlignment="1">
      <x:alignment wrapText="1"/>
    </x:xf>
    <x:xf numFmtId="0" fontId="13" fillId="8" borderId="15" xfId="0" applyNumberFormat="1" applyFont="1" applyFill="1" applyBorder="1" applyAlignment="1">
      <x:alignment wrapText="1"/>
    </x:xf>
    <x:xf numFmtId="0" fontId="13" fillId="8" borderId="0" xfId="0" applyNumberFormat="1" applyFont="1" applyFill="1" applyBorder="1" applyAlignment="1">
      <x:alignment wrapText="1"/>
    </x:xf>
    <x:xf numFmtId="0" fontId="13" fillId="8" borderId="16" xfId="0" applyNumberFormat="1" applyFont="1" applyFill="1" applyBorder="1" applyAlignment="1">
      <x:alignment wrapText="1"/>
    </x:xf>
    <x:xf numFmtId="0" fontId="13" fillId="8" borderId="17" xfId="0" applyNumberFormat="1" applyFont="1" applyFill="1" applyBorder="1" applyAlignment="1">
      <x:alignment wrapText="1"/>
    </x:xf>
    <x:xf numFmtId="0" fontId="13" fillId="8" borderId="18" xfId="0" applyNumberFormat="1" applyFont="1" applyFill="1" applyBorder="1" applyAlignment="1">
      <x:alignment wrapText="1"/>
    </x:xf>
    <x:xf numFmtId="0" fontId="13" fillId="8" borderId="19" xfId="0" applyNumberFormat="1" applyFont="1" applyFill="1" applyBorder="1" applyAlignment="1">
      <x:alignment wrapText="1"/>
    </x:xf>
    <x:xf numFmtId="0" fontId="13" fillId="8" borderId="12" xfId="0" applyNumberFormat="1" applyFont="1" applyFill="1" applyBorder="1" applyAlignment="1">
      <x:alignment vertical="center" wrapText="1"/>
    </x:xf>
    <x:xf numFmtId="0" fontId="13" fillId="8" borderId="13" xfId="0" applyNumberFormat="1" applyFont="1" applyFill="1" applyBorder="1" applyAlignment="1">
      <x:alignment vertical="center" wrapText="1"/>
    </x:xf>
    <x:xf numFmtId="0" fontId="13" fillId="8" borderId="14" xfId="0" applyNumberFormat="1" applyFont="1" applyFill="1" applyBorder="1" applyAlignment="1">
      <x:alignment vertical="center" wrapText="1"/>
    </x:xf>
    <x:xf numFmtId="0" fontId="13" fillId="8" borderId="15" xfId="0" applyNumberFormat="1" applyFont="1" applyFill="1" applyBorder="1" applyAlignment="1">
      <x:alignment vertical="center" wrapText="1"/>
    </x:xf>
    <x:xf numFmtId="0" fontId="13" fillId="8" borderId="0" xfId="0" applyNumberFormat="1" applyFont="1" applyFill="1" applyBorder="1" applyAlignment="1">
      <x:alignment vertical="center" wrapText="1"/>
    </x:xf>
    <x:xf numFmtId="0" fontId="13" fillId="8" borderId="16" xfId="0" applyNumberFormat="1" applyFont="1" applyFill="1" applyBorder="1" applyAlignment="1">
      <x:alignment vertical="center" wrapText="1"/>
    </x:xf>
    <x:xf numFmtId="0" fontId="13" fillId="8" borderId="17" xfId="0" applyNumberFormat="1" applyFont="1" applyFill="1" applyBorder="1" applyAlignment="1">
      <x:alignment vertical="center" wrapText="1"/>
    </x:xf>
    <x:xf numFmtId="0" fontId="13" fillId="8" borderId="18" xfId="0" applyNumberFormat="1" applyFont="1" applyFill="1" applyBorder="1" applyAlignment="1">
      <x:alignment vertical="center" wrapText="1"/>
    </x:xf>
    <x:xf numFmtId="0" fontId="13" fillId="8" borderId="19" xfId="0" applyNumberFormat="1" applyFont="1" applyFill="1" applyBorder="1" applyAlignment="1">
      <x:alignment vertical="center" wrapText="1"/>
    </x:xf>
    <x:xf numFmtId="0" fontId="14" fillId="2" borderId="0" xfId="0" applyNumberFormat="1" applyFont="1" applyFill="1" applyBorder="1"/>
    <x:xf numFmtId="0" fontId="14" fillId="2" borderId="0" xfId="0" applyNumberFormat="1" applyFont="1" applyFill="1" applyBorder="1" applyAlignment="1">
      <x:alignment horizontal="center"/>
    </x:xf>
    <x:xf numFmtId="0" fontId="0" fillId="9" borderId="0" xfId="0" applyNumberFormat="1" applyFont="1" applyFill="1" applyBorder="1"/>
    <x:xf numFmtId="0" fontId="15" fillId="9" borderId="0" xfId="0" applyNumberFormat="1" applyFont="1" applyFill="1" applyBorder="1"/>
    <x:xf numFmtId="0" fontId="15" fillId="9" borderId="1" xfId="0" applyNumberFormat="1" applyFont="1" applyFill="1" applyBorder="1"/>
    <x:xf numFmtId="0" fontId="15" fillId="9" borderId="2" xfId="0" applyNumberFormat="1" applyFont="1" applyFill="1" applyBorder="1"/>
    <x:xf numFmtId="0" fontId="15" fillId="9" borderId="3" xfId="0" applyNumberFormat="1" applyFont="1" applyFill="1" applyBorder="1"/>
    <x:xf numFmtId="0" fontId="15" fillId="9" borderId="6" xfId="0" applyNumberFormat="1" applyFont="1" applyFill="1" applyBorder="1"/>
    <x:xf numFmtId="0" fontId="15" fillId="9" borderId="7" xfId="0" applyNumberFormat="1" applyFont="1" applyFill="1" applyBorder="1"/>
    <x:xf numFmtId="0" fontId="15" fillId="9" borderId="8" xfId="0" applyNumberFormat="1" applyFont="1" applyFill="1" applyBorder="1"/>
    <x:xf numFmtId="0" fontId="15" fillId="9" borderId="1" xfId="0" applyNumberFormat="1" applyFont="1" applyFill="1" applyBorder="1" applyAlignment="1">
      <x:alignment horizontal="center"/>
    </x:xf>
    <x:xf numFmtId="0" fontId="15" fillId="9" borderId="2" xfId="0" applyNumberFormat="1" applyFont="1" applyFill="1" applyBorder="1" applyAlignment="1">
      <x:alignment horizontal="center"/>
    </x:xf>
    <x:xf numFmtId="0" fontId="15" fillId="9" borderId="3" xfId="0" applyNumberFormat="1" applyFont="1" applyFill="1" applyBorder="1" applyAlignment="1">
      <x:alignment horizontal="center"/>
    </x:xf>
    <x:xf numFmtId="0" fontId="15" fillId="9" borderId="6" xfId="0" applyNumberFormat="1" applyFont="1" applyFill="1" applyBorder="1" applyAlignment="1">
      <x:alignment horizontal="center"/>
    </x:xf>
    <x:xf numFmtId="0" fontId="15" fillId="9" borderId="7" xfId="0" applyNumberFormat="1" applyFont="1" applyFill="1" applyBorder="1" applyAlignment="1">
      <x:alignment horizontal="center"/>
    </x:xf>
    <x:xf numFmtId="0" fontId="15" fillId="9" borderId="8" xfId="0" applyNumberFormat="1" applyFont="1" applyFill="1" applyBorder="1" applyAlignment="1">
      <x:alignment horizontal="center"/>
    </x:xf>
    <x:xf numFmtId="0" fontId="15" fillId="9" borderId="1" xfId="0" applyNumberFormat="1" applyFont="1" applyFill="1" applyBorder="1" applyAlignment="1">
      <x:alignment horizontal="center" vertical="center"/>
    </x:xf>
    <x:xf numFmtId="0" fontId="15" fillId="9" borderId="2" xfId="0" applyNumberFormat="1" applyFont="1" applyFill="1" applyBorder="1" applyAlignment="1">
      <x:alignment horizontal="center" vertical="center"/>
    </x:xf>
    <x:xf numFmtId="0" fontId="15" fillId="9" borderId="3" xfId="0" applyNumberFormat="1" applyFont="1" applyFill="1" applyBorder="1" applyAlignment="1">
      <x:alignment horizontal="center" vertical="center"/>
    </x:xf>
    <x:xf numFmtId="0" fontId="15" fillId="9" borderId="6" xfId="0" applyNumberFormat="1" applyFont="1" applyFill="1" applyBorder="1" applyAlignment="1">
      <x:alignment horizontal="center" vertical="center"/>
    </x:xf>
    <x:xf numFmtId="0" fontId="15" fillId="9" borderId="7" xfId="0" applyNumberFormat="1" applyFont="1" applyFill="1" applyBorder="1" applyAlignment="1">
      <x:alignment horizontal="center" vertical="center"/>
    </x:xf>
    <x:xf numFmtId="0" fontId="15" fillId="9" borderId="8" xfId="0" applyNumberFormat="1" applyFont="1" applyFill="1" applyBorder="1" applyAlignment="1">
      <x:alignment horizontal="center" vertical="center"/>
    </x:xf>
    <x:xf numFmtId="0" fontId="16" fillId="9" borderId="6" xfId="0" applyNumberFormat="1" applyFont="1" applyFill="1" applyBorder="1" applyAlignment="1">
      <x:alignment horizontal="center" vertical="center"/>
    </x:xf>
    <x:xf numFmtId="0" fontId="16" fillId="9" borderId="7" xfId="0" applyNumberFormat="1" applyFont="1" applyFill="1" applyBorder="1" applyAlignment="1">
      <x:alignment horizontal="center" vertical="center"/>
    </x:xf>
    <x:xf numFmtId="0" fontId="16" fillId="9" borderId="8" xfId="0" applyNumberFormat="1" applyFont="1" applyFill="1" applyBorder="1" applyAlignment="1">
      <x:alignment horizontal="center" vertical="center"/>
    </x:xf>
    <x:xf numFmtId="0" fontId="16" fillId="0" borderId="0" xfId="0" applyNumberFormat="1" applyFont="1" applyFill="1" applyBorder="1"/>
    <x:xf numFmtId="0" fontId="0" fillId="10" borderId="0" xfId="0" applyNumberFormat="1" applyFont="1" applyFill="1" applyBorder="1"/>
    <x:xf numFmtId="0" fontId="17" fillId="10" borderId="0" xfId="0" applyNumberFormat="1" applyFont="1" applyFill="1" applyBorder="1"/>
    <x:xf numFmtId="0" fontId="17" fillId="10" borderId="20" xfId="0" applyNumberFormat="1" applyFont="1" applyFill="1" applyBorder="1"/>
    <x:xf numFmtId="0" fontId="17" fillId="10" borderId="21" xfId="0" applyNumberFormat="1" applyFont="1" applyFill="1" applyBorder="1"/>
    <x:xf numFmtId="0" fontId="17" fillId="10" borderId="22" xfId="0" applyNumberFormat="1" applyFont="1" applyFill="1" applyBorder="1"/>
    <x:xf numFmtId="0" fontId="17" fillId="10" borderId="20" xfId="0" applyNumberFormat="1" applyFont="1" applyFill="1" applyBorder="1" applyAlignment="1">
      <x:alignment wrapText="1"/>
    </x:xf>
    <x:xf numFmtId="0" fontId="17" fillId="10" borderId="21" xfId="0" applyNumberFormat="1" applyFont="1" applyFill="1" applyBorder="1" applyAlignment="1">
      <x:alignment wrapText="1"/>
    </x:xf>
    <x:xf numFmtId="0" fontId="17" fillId="10" borderId="22" xfId="0" applyNumberFormat="1" applyFont="1" applyFill="1" applyBorder="1" applyAlignment="1">
      <x:alignment wrapText="1"/>
    </x:xf>
    <x:xf numFmtId="0" fontId="17" fillId="10" borderId="20" xfId="0" applyNumberFormat="1" applyFont="1" applyFill="1" applyBorder="1" applyAlignment="1">
      <x:alignment vertical="center" wrapText="1"/>
    </x:xf>
    <x:xf numFmtId="0" fontId="17" fillId="10" borderId="21" xfId="0" applyNumberFormat="1" applyFont="1" applyFill="1" applyBorder="1" applyAlignment="1">
      <x:alignment vertical="center" wrapText="1"/>
    </x:xf>
    <x:xf numFmtId="0" fontId="17" fillId="10" borderId="22" xfId="0" applyNumberFormat="1" applyFont="1" applyFill="1" applyBorder="1" applyAlignment="1">
      <x:alignment vertical="center" wrapText="1"/>
    </x:xf>
    <x:xf numFmtId="0" fontId="18" fillId="0" borderId="0" xfId="0" applyNumberFormat="1" applyFont="1" applyFill="1" applyBorder="1"/>
    <x:xf numFmtId="0" fontId="18" fillId="0" borderId="23" xfId="0" applyNumberFormat="1" applyFont="1" applyFill="1" applyBorder="1"/>
    <x:xf numFmtId="0" fontId="18" fillId="0" borderId="24" xfId="0" applyNumberFormat="1" applyFont="1" applyFill="1" applyBorder="1"/>
    <x:xf numFmtId="0" fontId="18" fillId="0" borderId="25" xfId="0" applyNumberFormat="1" applyFont="1" applyFill="1" applyBorder="1"/>
    <x:xf numFmtId="0" fontId="18" fillId="0" borderId="23" xfId="0" applyNumberFormat="1" applyFont="1" applyFill="1" applyBorder="1" applyAlignment="1">
      <x:alignment wrapText="1"/>
    </x:xf>
    <x:xf numFmtId="0" fontId="18" fillId="0" borderId="24" xfId="0" applyNumberFormat="1" applyFont="1" applyFill="1" applyBorder="1" applyAlignment="1">
      <x:alignment wrapText="1"/>
    </x:xf>
    <x:xf numFmtId="0" fontId="18" fillId="0" borderId="25" xfId="0" applyNumberFormat="1" applyFont="1" applyFill="1" applyBorder="1" applyAlignment="1">
      <x:alignment wrapText="1"/>
    </x:xf>
    <x:xf numFmtId="0" fontId="18" fillId="0" borderId="23" xfId="0" applyNumberFormat="1" applyFont="1" applyFill="1" applyBorder="1" applyAlignment="1">
      <x:alignment vertical="top" wrapText="1"/>
    </x:xf>
    <x:xf numFmtId="0" fontId="18" fillId="0" borderId="24" xfId="0" applyNumberFormat="1" applyFont="1" applyFill="1" applyBorder="1" applyAlignment="1">
      <x:alignment vertical="top" wrapText="1"/>
    </x:xf>
    <x:xf numFmtId="0" fontId="18" fillId="0" borderId="25" xfId="0" applyNumberFormat="1" applyFont="1" applyFill="1" applyBorder="1" applyAlignment="1">
      <x:alignment vertical="top" wrapText="1"/>
    </x:xf>
    <x:xf numFmtId="0" fontId="19" fillId="0" borderId="23" xfId="0" applyNumberFormat="1" applyFont="1" applyFill="1" applyBorder="1" applyAlignment="1">
      <x:alignment vertical="top" wrapText="1"/>
    </x:xf>
    <x:xf numFmtId="0" fontId="19" fillId="0" borderId="24" xfId="0" applyNumberFormat="1" applyFont="1" applyFill="1" applyBorder="1" applyAlignment="1">
      <x:alignment vertical="top" wrapText="1"/>
    </x:xf>
    <x:xf numFmtId="0" fontId="19" fillId="0" borderId="25" xfId="0" applyNumberFormat="1" applyFont="1" applyFill="1" applyBorder="1" applyAlignment="1">
      <x:alignment vertical="top" wrapText="1"/>
    </x:xf>
    <x:xf numFmtId="0" fontId="20" fillId="0" borderId="23" xfId="0" applyNumberFormat="1" applyFont="1" applyFill="1" applyBorder="1" applyAlignment="1">
      <x:alignment vertical="top" wrapText="1"/>
    </x:xf>
    <x:xf numFmtId="0" fontId="20" fillId="0" borderId="24" xfId="0" applyNumberFormat="1" applyFont="1" applyFill="1" applyBorder="1" applyAlignment="1">
      <x:alignment vertical="top" wrapText="1"/>
    </x:xf>
    <x:xf numFmtId="0" fontId="20" fillId="0" borderId="25" xfId="0" applyNumberFormat="1" applyFont="1" applyFill="1" applyBorder="1" applyAlignment="1">
      <x:alignment vertical="top" wrapText="1"/>
    </x:xf>
    <x:xf numFmtId="0" fontId="20" fillId="11" borderId="23" xfId="0" applyNumberFormat="1" applyFont="1" applyFill="1" applyBorder="1" applyAlignment="1">
      <x:alignment vertical="top" wrapText="1"/>
    </x:xf>
    <x:xf numFmtId="0" fontId="20" fillId="11" borderId="24" xfId="0" applyNumberFormat="1" applyFont="1" applyFill="1" applyBorder="1" applyAlignment="1">
      <x:alignment vertical="top" wrapText="1"/>
    </x:xf>
    <x:xf numFmtId="0" fontId="20" fillId="11" borderId="25" xfId="0" applyNumberFormat="1" applyFont="1" applyFill="1" applyBorder="1" applyAlignment="1">
      <x:alignment vertical="top" wrapText="1"/>
    </x:xf>
    <x:xf numFmtId="200" fontId="19" fillId="0" borderId="23" xfId="0" applyNumberFormat="1" applyFont="1" applyFill="1" applyBorder="1" applyAlignment="1">
      <x:alignment vertical="top" wrapText="1"/>
    </x:xf>
    <x:xf numFmtId="200" fontId="20" fillId="11" borderId="23" xfId="0" applyNumberFormat="1" applyFont="1" applyFill="1" applyBorder="1" applyAlignment="1">
      <x:alignment vertical="top" wrapText="1"/>
    </x:xf>
    <x:xf numFmtId="200" fontId="19" fillId="0" borderId="24" xfId="0" applyNumberFormat="1" applyFont="1" applyFill="1" applyBorder="1" applyAlignment="1">
      <x:alignment vertical="top" wrapText="1"/>
    </x:xf>
    <x:xf numFmtId="200" fontId="20" fillId="11" borderId="24" xfId="0" applyNumberFormat="1" applyFont="1" applyFill="1" applyBorder="1" applyAlignment="1">
      <x:alignment vertical="top" wrapText="1"/>
    </x:xf>
    <x:xf numFmtId="200" fontId="19" fillId="0" borderId="25" xfId="0" applyNumberFormat="1" applyFont="1" applyFill="1" applyBorder="1" applyAlignment="1">
      <x:alignment vertical="top" wrapText="1"/>
    </x:xf>
    <x:xf numFmtId="200" fontId="20" fillId="11" borderId="25" xfId="0" applyNumberFormat="1" applyFont="1" applyFill="1" applyBorder="1" applyAlignment="1">
      <x:alignment vertical="top" wrapText="1"/>
    </x:xf>
    <x:xf numFmtId="201" fontId="19" fillId="0" borderId="23" xfId="0" applyNumberFormat="1" applyFont="1" applyFill="1" applyBorder="1" applyAlignment="1">
      <x:alignment vertical="top" wrapText="1"/>
    </x:xf>
    <x:xf numFmtId="201" fontId="19" fillId="0" borderId="24" xfId="0" applyNumberFormat="1" applyFont="1" applyFill="1" applyBorder="1" applyAlignment="1">
      <x:alignment vertical="top" wrapText="1"/>
    </x:xf>
    <x:xf numFmtId="201" fontId="19" fillId="0" borderId="25" xfId="0" applyNumberFormat="1" applyFont="1" applyFill="1" applyBorder="1" applyAlignment="1">
      <x:alignment vertical="top" wrapText="1"/>
    </x:xf>
    <x:xf numFmtId="0" fontId="16" fillId="9" borderId="6" xfId="0" applyNumberFormat="1" applyFont="1" applyFill="1" applyBorder="1" applyAlignment="1">
      <x:alignment horizontal="center"/>
    </x:xf>
    <x:xf numFmtId="0" fontId="16" fillId="9" borderId="7" xfId="0" applyNumberFormat="1" applyFont="1" applyFill="1" applyBorder="1" applyAlignment="1">
      <x:alignment horizontal="center"/>
    </x:xf>
    <x:xf numFmtId="0" fontId="16" fillId="9" borderId="8" xfId="0" applyNumberFormat="1" applyFont="1" applyFill="1" applyBorder="1" applyAlignment="1">
      <x:alignment horizontal="center"/>
    </x:xf>
    <x:xf numFmtId="202" fontId="19" fillId="0" borderId="23" xfId="0" applyNumberFormat="1" applyFont="1" applyFill="1" applyBorder="1" applyAlignment="1">
      <x:alignment vertical="top" wrapText="1"/>
    </x:xf>
    <x:xf numFmtId="202" fontId="19" fillId="0" borderId="24" xfId="0" applyNumberFormat="1" applyFont="1" applyFill="1" applyBorder="1" applyAlignment="1">
      <x:alignment vertical="top" wrapText="1"/>
    </x:xf>
    <x:xf numFmtId="202" fontId="19" fillId="0" borderId="25" xfId="0" applyNumberFormat="1" applyFont="1" applyFill="1" applyBorder="1" applyAlignment="1">
      <x:alignment vertical="top" wrapText="1"/>
    </x:xf>
    <x:xf numFmtId="203" fontId="19" fillId="0" borderId="23" xfId="0" applyNumberFormat="1" applyFont="1" applyFill="1" applyBorder="1" applyAlignment="1">
      <x:alignment vertical="top" wrapText="1"/>
    </x:xf>
    <x:xf numFmtId="203" fontId="19" fillId="0" borderId="24" xfId="0" applyNumberFormat="1" applyFont="1" applyFill="1" applyBorder="1" applyAlignment="1">
      <x:alignment vertical="top" wrapText="1"/>
    </x:xf>
    <x:xf numFmtId="203" fontId="19" fillId="0" borderId="25" xfId="0" applyNumberFormat="1" applyFont="1" applyFill="1" applyBorder="1" applyAlignment="1">
      <x:alignment vertical="top" wrapText="1"/>
    </x:xf>
    <x:xf numFmtId="0" fontId="21" fillId="4" borderId="0" xfId="0" applyNumberFormat="1" applyFont="1" applyFill="1" applyBorder="1"/>
    <x:xf numFmtId="0" fontId="21" fillId="4" borderId="0" xfId="0" applyNumberFormat="1" applyFont="1" applyFill="1" applyBorder="1" applyAlignment="1">
      <x:alignment horizontal="center"/>
    </x:xf>
    <x:xf numFmtId="0" fontId="22" fillId="0" borderId="0" xfId="0" applyNumberFormat="1" applyFont="1" applyFill="1" applyBorder="1"/>
    <x:xf numFmtId="0" fontId="22" fillId="0" borderId="26" xfId="0" applyNumberFormat="1" applyFont="1" applyFill="1" applyBorder="1"/>
    <x:xf numFmtId="0" fontId="22" fillId="0" borderId="26" xfId="0" applyNumberFormat="1" applyFont="1" applyFill="1" applyBorder="1" applyAlignment="1">
      <x:alignment horizontal="center"/>
    </x:xf>
    <x:xf numFmtId="0" fontId="22" fillId="0" borderId="26" xfId="0" applyNumberFormat="1" applyFont="1" applyFill="1" applyBorder="1" applyAlignment="1">
      <x:alignment horizontal="center" vertical="center"/>
    </x:xf>
    <x:xf numFmtId="0" fontId="22" fillId="12" borderId="26" xfId="0" applyNumberFormat="1" applyFont="1" applyFill="1" applyBorder="1" applyAlignment="1">
      <x:alignment horizontal="center" vertical="center"/>
    </x:xf>
    <x:xf numFmtId="0" fontId="23" fillId="0" borderId="26" xfId="0" applyNumberFormat="1" applyFont="1" applyFill="1" applyBorder="1" applyAlignment="1">
      <x:alignment horizontal="center" vertical="center"/>
    </x:xf>
    <x:xf numFmtId="0" fontId="24" fillId="3" borderId="0" xfId="0" applyNumberFormat="1" applyFont="1" applyFill="1" applyBorder="1"/>
    <x:xf numFmtId="0" fontId="15" fillId="0" borderId="0" xfId="0" applyNumberFormat="1" applyFont="1" applyFill="1" applyBorder="1"/>
    <x:xf numFmtId="0" fontId="15" fillId="13" borderId="0" xfId="0" applyNumberFormat="1" applyFont="1" applyFill="1" applyBorder="1"/>
    <x:xf numFmtId="0" fontId="15" fillId="14" borderId="0" xfId="0" applyNumberFormat="1" applyFont="1" applyFill="1" applyBorder="1"/>
    <x:xf numFmtId="0" fontId="15" fillId="15" borderId="0" xfId="0" applyNumberFormat="1" applyFont="1" applyFill="1" applyBorder="1"/>
    <x:xf numFmtId="0" fontId="15" fillId="16" borderId="0" xfId="0" applyNumberFormat="1" applyFont="1" applyFill="1" applyBorder="1"/>
    <x:xf numFmtId="0" fontId="15" fillId="0" borderId="27" xfId="0" applyNumberFormat="1" applyFont="1" applyFill="1" applyBorder="1"/>
    <x:xf numFmtId="0" fontId="15" fillId="13" borderId="27" xfId="0" applyNumberFormat="1" applyFont="1" applyFill="1" applyBorder="1"/>
    <x:xf numFmtId="0" fontId="15" fillId="14" borderId="27" xfId="0" applyNumberFormat="1" applyFont="1" applyFill="1" applyBorder="1"/>
    <x:xf numFmtId="0" fontId="15" fillId="15" borderId="27" xfId="0" applyNumberFormat="1" applyFont="1" applyFill="1" applyBorder="1"/>
    <x:xf numFmtId="0" fontId="15" fillId="16" borderId="27" xfId="0" applyNumberFormat="1" applyFont="1" applyFill="1" applyBorder="1"/>
    <x:xf numFmtId="0" fontId="25" fillId="4" borderId="0" xfId="0" applyNumberFormat="1" applyFont="1" applyFill="1" applyBorder="1"/>
    <x:xf numFmtId="0" fontId="18" fillId="0" borderId="8" xfId="0" applyNumberFormat="1" applyFont="1" applyFill="1" applyBorder="1"/>
    <x:xf numFmtId="0" fontId="18" fillId="0" borderId="28" xfId="0" applyNumberFormat="1" applyFont="1" applyFill="1" applyBorder="1"/>
    <x:xf numFmtId="0" fontId="18" fillId="0" borderId="6" xfId="0" applyNumberFormat="1" applyFont="1" applyFill="1" applyBorder="1"/>
    <x:xf numFmtId="0" fontId="18" fillId="0" borderId="11" xfId="0" applyNumberFormat="1" applyFont="1" applyFill="1" applyBorder="1"/>
    <x:xf numFmtId="0" fontId="18" fillId="0" borderId="27" xfId="0" applyNumberFormat="1" applyFont="1" applyFill="1" applyBorder="1"/>
    <x:xf numFmtId="0" fontId="18" fillId="0" borderId="9" xfId="0" applyNumberFormat="1" applyFont="1" applyFill="1" applyBorder="1"/>
    <x:xf numFmtId="0" fontId="18" fillId="0" borderId="3" xfId="0" applyNumberFormat="1" applyFont="1" applyFill="1" applyBorder="1"/>
    <x:xf numFmtId="0" fontId="18" fillId="0" borderId="29" xfId="0" applyNumberFormat="1" applyFont="1" applyFill="1" applyBorder="1"/>
    <x:xf numFmtId="0" fontId="18" fillId="0" borderId="1" xfId="0" applyNumberFormat="1" applyFont="1" applyFill="1" applyBorder="1"/>
    <x:xf numFmtId="0" fontId="18" fillId="0" borderId="8" xfId="0" applyNumberFormat="1" applyFont="1" applyFill="1" applyBorder="1" applyAlignment="1">
      <x:alignment wrapText="1"/>
    </x:xf>
    <x:xf numFmtId="0" fontId="18" fillId="0" borderId="28" xfId="0" applyNumberFormat="1" applyFont="1" applyFill="1" applyBorder="1" applyAlignment="1">
      <x:alignment wrapText="1"/>
    </x:xf>
    <x:xf numFmtId="0" fontId="18" fillId="0" borderId="6" xfId="0" applyNumberFormat="1" applyFont="1" applyFill="1" applyBorder="1" applyAlignment="1">
      <x:alignment wrapText="1"/>
    </x:xf>
    <x:xf numFmtId="0" fontId="18" fillId="0" borderId="11" xfId="0" applyNumberFormat="1" applyFont="1" applyFill="1" applyBorder="1" applyAlignment="1">
      <x:alignment wrapText="1"/>
    </x:xf>
    <x:xf numFmtId="0" fontId="18" fillId="0" borderId="27" xfId="0" applyNumberFormat="1" applyFont="1" applyFill="1" applyBorder="1" applyAlignment="1">
      <x:alignment wrapText="1"/>
    </x:xf>
    <x:xf numFmtId="0" fontId="18" fillId="0" borderId="9" xfId="0" applyNumberFormat="1" applyFont="1" applyFill="1" applyBorder="1" applyAlignment="1">
      <x:alignment wrapText="1"/>
    </x:xf>
    <x:xf numFmtId="0" fontId="18" fillId="0" borderId="3" xfId="0" applyNumberFormat="1" applyFont="1" applyFill="1" applyBorder="1" applyAlignment="1">
      <x:alignment wrapText="1"/>
    </x:xf>
    <x:xf numFmtId="0" fontId="18" fillId="0" borderId="29" xfId="0" applyNumberFormat="1" applyFont="1" applyFill="1" applyBorder="1" applyAlignment="1">
      <x:alignment wrapText="1"/>
    </x:xf>
    <x:xf numFmtId="0" fontId="18" fillId="0" borderId="1" xfId="0" applyNumberFormat="1" applyFont="1" applyFill="1" applyBorder="1" applyAlignment="1">
      <x:alignment wrapText="1"/>
    </x:xf>
    <x:xf numFmtId="204" fontId="19" fillId="0" borderId="23" xfId="0" applyNumberFormat="1" applyFont="1" applyFill="1" applyBorder="1" applyAlignment="1">
      <x:alignment vertical="top" wrapText="1"/>
    </x:xf>
    <x:xf numFmtId="205" fontId="19" fillId="0" borderId="24" xfId="0" applyNumberFormat="1" applyFont="1" applyFill="1" applyBorder="1" applyAlignment="1">
      <x:alignment vertical="top" wrapText="1"/>
    </x:xf>
    <x:xf numFmtId="204" fontId="19" fillId="0" borderId="24" xfId="0" applyNumberFormat="1" applyFont="1" applyFill="1" applyBorder="1" applyAlignment="1">
      <x:alignment vertical="top" wrapText="1"/>
    </x:xf>
    <x:xf numFmtId="206" fontId="19" fillId="0" borderId="24" xfId="0" applyNumberFormat="1" applyFont="1" applyFill="1" applyBorder="1" applyAlignment="1">
      <x:alignment vertical="top" wrapText="1"/>
    </x:xf>
    <x:xf numFmtId="207" fontId="15" fillId="9" borderId="6" xfId="0" applyNumberFormat="1" applyFont="1" applyFill="1" applyBorder="1" applyAlignment="1">
      <x:alignment horizontal="center"/>
    </x:xf>
    <x:xf numFmtId="207" fontId="15" fillId="9" borderId="7" xfId="0" applyNumberFormat="1" applyFont="1" applyFill="1" applyBorder="1" applyAlignment="1">
      <x:alignment horizontal="center"/>
    </x:xf>
    <x:xf numFmtId="207" fontId="15" fillId="9" borderId="8" xfId="0" applyNumberFormat="1" applyFont="1" applyFill="1" applyBorder="1" applyAlignment="1">
      <x:alignment horizontal="center"/>
    </x:xf>
    <x:xf numFmtId="205" fontId="15" fillId="9" borderId="6" xfId="0" applyNumberFormat="1" applyFont="1" applyFill="1" applyBorder="1" applyAlignment="1">
      <x:alignment horizontal="center"/>
    </x:xf>
    <x:xf numFmtId="205" fontId="15" fillId="9" borderId="7" xfId="0" applyNumberFormat="1" applyFont="1" applyFill="1" applyBorder="1" applyAlignment="1">
      <x:alignment horizontal="center"/>
    </x:xf>
    <x:xf numFmtId="205" fontId="15" fillId="9" borderId="8" xfId="0" applyNumberFormat="1" applyFont="1" applyFill="1" applyBorder="1" applyAlignment="1">
      <x:alignment horizontal="center"/>
    </x:xf>
    <x:xf numFmtId="203" fontId="20" fillId="11" borderId="23" xfId="0" applyNumberFormat="1" applyFont="1" applyFill="1" applyBorder="1" applyAlignment="1">
      <x:alignment vertical="top" wrapText="1"/>
    </x:xf>
    <x:xf numFmtId="203" fontId="20" fillId="11" borderId="24" xfId="0" applyNumberFormat="1" applyFont="1" applyFill="1" applyBorder="1" applyAlignment="1">
      <x:alignment vertical="top" wrapText="1"/>
    </x:xf>
    <x:xf numFmtId="203" fontId="20" fillId="11" borderId="25" xfId="0" applyNumberFormat="1" applyFont="1" applyFill="1" applyBorder="1" applyAlignment="1">
      <x:alignment vertical="top" wrapText="1"/>
    </x:xf>
    <x:xf numFmtId="205" fontId="20" fillId="11" borderId="23" xfId="0" applyNumberFormat="1" applyFont="1" applyFill="1" applyBorder="1" applyAlignment="1">
      <x:alignment vertical="top" wrapText="1"/>
    </x:xf>
    <x:xf numFmtId="205" fontId="20" fillId="11" borderId="24" xfId="0" applyNumberFormat="1" applyFont="1" applyFill="1" applyBorder="1" applyAlignment="1">
      <x:alignment vertical="top" wrapText="1"/>
    </x:xf>
    <x:xf numFmtId="205" fontId="20" fillId="11" borderId="25" xfId="0" applyNumberFormat="1" applyFont="1" applyFill="1" applyBorder="1" applyAlignment="1">
      <x:alignment vertical="top" wrapText="1"/>
    </x:xf>
    <x:xf numFmtId="208" fontId="19" fillId="0" borderId="23" xfId="0" applyNumberFormat="1" applyFont="1" applyFill="1" applyBorder="1" applyAlignment="1">
      <x:alignment vertical="top" wrapText="1"/>
    </x:xf>
    <x:xf numFmtId="208" fontId="19" fillId="0" borderId="24" xfId="0" applyNumberFormat="1" applyFont="1" applyFill="1" applyBorder="1" applyAlignment="1">
      <x:alignment vertical="top" wrapText="1"/>
    </x:xf>
    <x:xf numFmtId="208" fontId="19" fillId="0" borderId="25" xfId="0" applyNumberFormat="1" applyFont="1" applyFill="1" applyBorder="1" applyAlignment="1">
      <x:alignment vertical="top" wrapText="1"/>
    </x:xf>
    <x:xf numFmtId="205" fontId="19" fillId="0" borderId="23" xfId="0" applyNumberFormat="1" applyFont="1" applyFill="1" applyBorder="1" applyAlignment="1">
      <x:alignment vertical="top" wrapText="1"/>
    </x:xf>
    <x:xf numFmtId="205" fontId="19" fillId="0" borderId="25" xfId="0" applyNumberFormat="1" applyFont="1" applyFill="1" applyBorder="1" applyAlignment="1">
      <x:alignment vertical="top" wrapText="1"/>
    </x:xf>
    <x:xf numFmtId="0" fontId="26" fillId="3" borderId="0" xfId="0" applyNumberFormat="1" applyFont="1" applyFill="1" applyBorder="1"/>
    <x:xf numFmtId="0" fontId="26" fillId="3" borderId="30" xfId="0" applyNumberFormat="1" applyFont="1" applyFill="1" applyBorder="1"/>
    <x:xf numFmtId="0" fontId="26" fillId="3" borderId="31" xfId="0" applyNumberFormat="1" applyFont="1" applyFill="1" applyBorder="1"/>
    <x:xf numFmtId="0" fontId="26" fillId="3" borderId="32" xfId="0" applyNumberFormat="1" applyFont="1" applyFill="1" applyBorder="1"/>
    <x:xf numFmtId="0" fontId="26" fillId="3" borderId="30" xfId="0" applyNumberFormat="1" applyFont="1" applyFill="1" applyBorder="1" applyAlignment="1">
      <x:alignment horizontal="center"/>
    </x:xf>
    <x:xf numFmtId="0" fontId="26" fillId="3" borderId="31" xfId="0" applyNumberFormat="1" applyFont="1" applyFill="1" applyBorder="1" applyAlignment="1">
      <x:alignment horizontal="center"/>
    </x:xf>
    <x:xf numFmtId="0" fontId="26" fillId="3" borderId="32" xfId="0" applyNumberFormat="1" applyFont="1" applyFill="1" applyBorder="1" applyAlignment="1">
      <x:alignment horizontal="center"/>
    </x:xf>
    <x:xf numFmtId="0" fontId="27" fillId="9" borderId="0" xfId="0" applyNumberFormat="1" applyFont="1" applyFill="1" applyBorder="1"/>
    <x:xf numFmtId="0" fontId="27" fillId="9" borderId="1" xfId="0" applyNumberFormat="1" applyFont="1" applyFill="1" applyBorder="1"/>
    <x:xf numFmtId="0" fontId="27" fillId="9" borderId="2" xfId="0" applyNumberFormat="1" applyFont="1" applyFill="1" applyBorder="1"/>
    <x:xf numFmtId="0" fontId="27" fillId="9" borderId="3" xfId="0" applyNumberFormat="1" applyFont="1" applyFill="1" applyBorder="1"/>
    <x:xf numFmtId="0" fontId="27" fillId="9" borderId="6" xfId="0" applyNumberFormat="1" applyFont="1" applyFill="1" applyBorder="1"/>
    <x:xf numFmtId="0" fontId="27" fillId="9" borderId="7" xfId="0" applyNumberFormat="1" applyFont="1" applyFill="1" applyBorder="1"/>
    <x:xf numFmtId="0" fontId="27" fillId="9" borderId="8" xfId="0" applyNumberFormat="1" applyFont="1" applyFill="1" applyBorder="1"/>
    <x:xf numFmtId="0" fontId="27" fillId="9" borderId="1" xfId="0" applyNumberFormat="1" applyFont="1" applyFill="1" applyBorder="1" applyAlignment="1">
      <x:alignment horizontal="center"/>
    </x:xf>
    <x:xf numFmtId="0" fontId="27" fillId="9" borderId="2" xfId="0" applyNumberFormat="1" applyFont="1" applyFill="1" applyBorder="1" applyAlignment="1">
      <x:alignment horizontal="center"/>
    </x:xf>
    <x:xf numFmtId="0" fontId="27" fillId="9" borderId="3" xfId="0" applyNumberFormat="1" applyFont="1" applyFill="1" applyBorder="1" applyAlignment="1">
      <x:alignment horizontal="center"/>
    </x:xf>
    <x:xf numFmtId="0" fontId="27" fillId="9" borderId="6" xfId="0" applyNumberFormat="1" applyFont="1" applyFill="1" applyBorder="1" applyAlignment="1">
      <x:alignment horizontal="center"/>
    </x:xf>
    <x:xf numFmtId="0" fontId="27" fillId="9" borderId="7" xfId="0" applyNumberFormat="1" applyFont="1" applyFill="1" applyBorder="1" applyAlignment="1">
      <x:alignment horizontal="center"/>
    </x:xf>
    <x:xf numFmtId="0" fontId="27" fillId="9" borderId="8" xfId="0" applyNumberFormat="1" applyFont="1" applyFill="1" applyBorder="1" applyAlignment="1">
      <x:alignment horizontal="center"/>
    </x:xf>
    <x:xf numFmtId="0" fontId="27" fillId="9" borderId="1" xfId="0" applyNumberFormat="1" applyFont="1" applyFill="1" applyBorder="1" applyAlignment="1">
      <x:alignment horizontal="center" vertical="center"/>
    </x:xf>
    <x:xf numFmtId="0" fontId="27" fillId="9" borderId="2" xfId="0" applyNumberFormat="1" applyFont="1" applyFill="1" applyBorder="1" applyAlignment="1">
      <x:alignment horizontal="center" vertical="center"/>
    </x:xf>
    <x:xf numFmtId="0" fontId="27" fillId="9" borderId="3" xfId="0" applyNumberFormat="1" applyFont="1" applyFill="1" applyBorder="1" applyAlignment="1">
      <x:alignment horizontal="center" vertical="center"/>
    </x:xf>
    <x:xf numFmtId="0" fontId="27" fillId="9" borderId="6" xfId="0" applyNumberFormat="1" applyFont="1" applyFill="1" applyBorder="1" applyAlignment="1">
      <x:alignment horizontal="center" vertical="center"/>
    </x:xf>
    <x:xf numFmtId="0" fontId="27" fillId="9" borderId="7" xfId="0" applyNumberFormat="1" applyFont="1" applyFill="1" applyBorder="1" applyAlignment="1">
      <x:alignment horizontal="center" vertical="center"/>
    </x:xf>
    <x:xf numFmtId="0" fontId="27" fillId="9" borderId="8" xfId="0" applyNumberFormat="1" applyFont="1" applyFill="1" applyBorder="1" applyAlignment="1">
      <x:alignment horizontal="center" vertical="center"/>
    </x:xf>
    <x:xf numFmtId="0" fontId="28" fillId="9" borderId="1" xfId="0" applyNumberFormat="1" applyFont="1" applyFill="1" applyBorder="1" applyAlignment="1">
      <x:alignment horizontal="center" vertical="center"/>
    </x:xf>
    <x:xf numFmtId="0" fontId="29" fillId="0" borderId="23" xfId="0" applyNumberFormat="1" applyFont="1" applyFill="1" applyBorder="1" applyAlignment="1">
      <x:alignment vertical="top" wrapText="1"/>
    </x:xf>
    <x:xf numFmtId="0" fontId="29" fillId="0" borderId="24" xfId="0" applyNumberFormat="1" applyFont="1" applyFill="1" applyBorder="1" applyAlignment="1">
      <x:alignment vertical="top" wrapText="1"/>
    </x:xf>
    <x:xf numFmtId="0" fontId="29" fillId="0" borderId="25" xfId="0" applyNumberFormat="1" applyFont="1" applyFill="1" applyBorder="1" applyAlignment="1">
      <x:alignment vertical="top" wrapText="1"/>
    </x:xf>
    <x:xf numFmtId="0" fontId="30" fillId="0" borderId="0" xfId="0" applyNumberFormat="1" applyFont="1" applyFill="1" applyBorder="1"/>
    <x:xf numFmtId="209" fontId="30" fillId="0" borderId="0" xfId="0" applyNumberFormat="1" applyFont="1" applyFill="1" applyBorder="1"/>
    <x:xf numFmtId="207" fontId="30" fillId="0" borderId="0" xfId="0" applyNumberFormat="1" applyFont="1" applyFill="1" applyBorder="1"/>
    <x:xf numFmtId="0" fontId="0" fillId="17" borderId="0" xfId="0" applyNumberFormat="1" applyFont="1" applyFill="1" applyBorder="1"/>
    <x:xf numFmtId="0" fontId="1" fillId="17" borderId="0" xfId="0" applyNumberFormat="1" applyFont="1" applyFill="1" applyBorder="1"/>
    <x:xf numFmtId="0" fontId="1" fillId="17" borderId="0" xfId="0" applyNumberFormat="1" applyFont="1" applyFill="1" applyBorder="1" applyAlignment="1">
      <x:alignment vertical="center"/>
    </x:xf>
    <x:xf numFmtId="0" fontId="0" fillId="18" borderId="0" xfId="0" applyNumberFormat="1" applyFont="1" applyFill="1" applyBorder="1"/>
    <x:xf numFmtId="0" fontId="31" fillId="18" borderId="0" xfId="0" applyNumberFormat="1" applyFont="1" applyFill="1" applyBorder="1"/>
    <x:xf numFmtId="0" fontId="31" fillId="18" borderId="0" xfId="0" applyNumberFormat="1" applyFont="1" applyFill="1" applyBorder="1" applyAlignment="1">
      <x:alignment wrapText="1"/>
    </x:xf>
    <x:xf numFmtId="0" fontId="31" fillId="18" borderId="0" xfId="0" applyNumberFormat="1" applyFont="1" applyFill="1" applyBorder="1" applyAlignment="1">
      <x:alignment vertical="center" wrapText="1"/>
    </x:xf>
    <x:xf numFmtId="0" fontId="0" fillId="19" borderId="0" xfId="0" applyNumberFormat="1" applyFont="1" applyFill="1" applyBorder="1"/>
    <x:xf numFmtId="0" fontId="32" fillId="19" borderId="0" xfId="0" applyNumberFormat="1" applyFont="1" applyFill="1" applyBorder="1"/>
    <x:xf numFmtId="0" fontId="32" fillId="19" borderId="33" xfId="0" applyNumberFormat="1" applyFont="1" applyFill="1" applyBorder="1"/>
    <x:xf numFmtId="0" fontId="32" fillId="19" borderId="33" xfId="0" applyNumberFormat="1" applyFont="1" applyFill="1" applyBorder="1" applyAlignment="1">
      <x:alignment vertical="center"/>
    </x:xf>
    <x:xf numFmtId="0" fontId="0" fillId="20" borderId="0" xfId="0" applyNumberFormat="1" applyFont="1" applyFill="1" applyBorder="1"/>
    <x:xf numFmtId="0" fontId="33" fillId="20" borderId="0" xfId="0" applyNumberFormat="1" applyFont="1" applyFill="1" applyBorder="1"/>
    <x:xf numFmtId="0" fontId="33" fillId="20" borderId="34" xfId="0" applyNumberFormat="1" applyFont="1" applyFill="1" applyBorder="1"/>
    <x:xf numFmtId="0" fontId="33" fillId="20" borderId="35" xfId="0" applyNumberFormat="1" applyFont="1" applyFill="1" applyBorder="1"/>
    <x:xf numFmtId="0" fontId="33" fillId="20" borderId="36" xfId="0" applyNumberFormat="1" applyFont="1" applyFill="1" applyBorder="1"/>
    <x:xf numFmtId="0" fontId="33" fillId="20" borderId="37" xfId="0" applyNumberFormat="1" applyFont="1" applyFill="1" applyBorder="1"/>
    <x:xf numFmtId="0" fontId="33" fillId="20" xfId="0" applyNumberFormat="1" applyFont="1" applyFill="1" applyBorder="0"/>
    <x:xf numFmtId="0" fontId="33" fillId="20" borderId="38" xfId="0" applyNumberFormat="1" applyFont="1" applyFill="1" applyBorder="1"/>
    <x:xf numFmtId="0" fontId="33" fillId="20" borderId="39" xfId="0" applyNumberFormat="1" applyFont="1" applyFill="1" applyBorder="1"/>
    <x:xf numFmtId="0" fontId="33" fillId="20" borderId="40" xfId="0" applyNumberFormat="1" applyFont="1" applyFill="1" applyBorder="1"/>
    <x:xf numFmtId="0" fontId="33" fillId="20" borderId="41" xfId="0" applyNumberFormat="1" applyFont="1" applyFill="1" applyBorder="1"/>
    <x:xf numFmtId="0" fontId="33" fillId="20" borderId="34" xfId="0" applyNumberFormat="1" applyFont="1" applyFill="1" applyBorder="1" applyAlignment="1">
      <x:alignment wrapText="1"/>
    </x:xf>
    <x:xf numFmtId="0" fontId="33" fillId="20" borderId="35" xfId="0" applyNumberFormat="1" applyFont="1" applyFill="1" applyBorder="1" applyAlignment="1">
      <x:alignment wrapText="1"/>
    </x:xf>
    <x:xf numFmtId="0" fontId="33" fillId="20" borderId="36" xfId="0" applyNumberFormat="1" applyFont="1" applyFill="1" applyBorder="1" applyAlignment="1">
      <x:alignment wrapText="1"/>
    </x:xf>
    <x:xf numFmtId="0" fontId="33" fillId="20" borderId="37" xfId="0" applyNumberFormat="1" applyFont="1" applyFill="1" applyBorder="1" applyAlignment="1">
      <x:alignment wrapText="1"/>
    </x:xf>
    <x:xf numFmtId="0" fontId="33" fillId="20" xfId="0" applyNumberFormat="1" applyFont="1" applyFill="1" applyBorder="0" applyAlignment="1">
      <x:alignment wrapText="1"/>
    </x:xf>
    <x:xf numFmtId="0" fontId="33" fillId="20" borderId="38" xfId="0" applyNumberFormat="1" applyFont="1" applyFill="1" applyBorder="1" applyAlignment="1">
      <x:alignment wrapText="1"/>
    </x:xf>
    <x:xf numFmtId="0" fontId="33" fillId="20" borderId="39" xfId="0" applyNumberFormat="1" applyFont="1" applyFill="1" applyBorder="1" applyAlignment="1">
      <x:alignment wrapText="1"/>
    </x:xf>
    <x:xf numFmtId="0" fontId="33" fillId="20" borderId="40" xfId="0" applyNumberFormat="1" applyFont="1" applyFill="1" applyBorder="1" applyAlignment="1">
      <x:alignment wrapText="1"/>
    </x:xf>
    <x:xf numFmtId="0" fontId="33" fillId="20" borderId="41" xfId="0" applyNumberFormat="1" applyFont="1" applyFill="1" applyBorder="1" applyAlignment="1">
      <x:alignment wrapText="1"/>
    </x:xf>
    <x:xf numFmtId="0" fontId="33" fillId="20" borderId="34" xfId="0" applyNumberFormat="1" applyFont="1" applyFill="1" applyBorder="1" applyAlignment="1">
      <x:alignment vertical="top" wrapText="1"/>
    </x:xf>
    <x:xf numFmtId="0" fontId="33" fillId="20" borderId="35" xfId="0" applyNumberFormat="1" applyFont="1" applyFill="1" applyBorder="1" applyAlignment="1">
      <x:alignment vertical="top" wrapText="1"/>
    </x:xf>
    <x:xf numFmtId="0" fontId="33" fillId="20" borderId="36" xfId="0" applyNumberFormat="1" applyFont="1" applyFill="1" applyBorder="1" applyAlignment="1">
      <x:alignment vertical="top" wrapText="1"/>
    </x:xf>
    <x:xf numFmtId="0" fontId="33" fillId="20" borderId="37" xfId="0" applyNumberFormat="1" applyFont="1" applyFill="1" applyBorder="1" applyAlignment="1">
      <x:alignment vertical="top" wrapText="1"/>
    </x:xf>
    <x:xf numFmtId="0" fontId="33" fillId="20" xfId="0" applyNumberFormat="1" applyFont="1" applyFill="1" applyBorder="0" applyAlignment="1">
      <x:alignment vertical="top" wrapText="1"/>
    </x:xf>
    <x:xf numFmtId="0" fontId="33" fillId="20" borderId="38" xfId="0" applyNumberFormat="1" applyFont="1" applyFill="1" applyBorder="1" applyAlignment="1">
      <x:alignment vertical="top" wrapText="1"/>
    </x:xf>
    <x:xf numFmtId="0" fontId="33" fillId="20" borderId="39" xfId="0" applyNumberFormat="1" applyFont="1" applyFill="1" applyBorder="1" applyAlignment="1">
      <x:alignment vertical="top" wrapText="1"/>
    </x:xf>
    <x:xf numFmtId="0" fontId="33" fillId="20" borderId="40" xfId="0" applyNumberFormat="1" applyFont="1" applyFill="1" applyBorder="1" applyAlignment="1">
      <x:alignment vertical="top" wrapText="1"/>
    </x:xf>
    <x:xf numFmtId="0" fontId="33" fillId="20" borderId="41" xfId="0" applyNumberFormat="1" applyFont="1" applyFill="1" applyBorder="1" applyAlignment="1">
      <x:alignment vertical="top" wrapText="1"/>
    </x:xf>
    <x:xf numFmtId="0" fontId="33" fillId="0" borderId="0" xfId="0" applyNumberFormat="1" applyFont="1" applyFill="1" applyBorder="1"/>
    <x:xf numFmtId="0" fontId="33" fillId="0" borderId="42" xfId="0" applyNumberFormat="1" applyFont="1" applyFill="1" applyBorder="1"/>
    <x:xf numFmtId="0" fontId="33" fillId="0" borderId="42" xfId="0" applyNumberFormat="1" applyFont="1" applyFill="1" applyBorder="1" applyAlignment="1">
      <x:alignment vertical="center"/>
    </x:xf>
    <x:xf numFmtId="0" fontId="34" fillId="0" borderId="42" xfId="0" applyNumberFormat="1" applyFont="1" applyFill="1" applyBorder="1" applyAlignment="1">
      <x:alignment vertical="center"/>
    </x:xf>
    <x:xf numFmtId="0" fontId="35" fillId="0" borderId="42" xfId="0" applyNumberFormat="1" applyFont="1" applyFill="1" applyBorder="1" applyAlignment="1">
      <x:alignment vertical="center"/>
    </x:xf>
    <x:xf numFmtId="0" fontId="36" fillId="0" borderId="42" xfId="0" applyNumberFormat="1" applyFont="1" applyFill="1" applyBorder="1" applyAlignment="1">
      <x:alignment vertical="center"/>
    </x:xf>
    <x:xf numFmtId="0" fontId="33" fillId="21" borderId="42" xfId="0" applyNumberFormat="1" applyFont="1" applyFill="1" applyBorder="1" applyAlignment="1">
      <x:alignment vertical="center"/>
    </x:xf>
    <x:xf numFmtId="0" fontId="0" fillId="22" borderId="0" xfId="0" applyNumberFormat="1" applyFont="1" applyFill="1" applyBorder="1"/>
    <x:xf numFmtId="0" fontId="37" fillId="22" borderId="0" xfId="0" applyNumberFormat="1" applyFont="1" applyFill="1" applyBorder="1"/>
    <x:xf numFmtId="0" fontId="38" fillId="0" borderId="0" xfId="0" applyNumberFormat="1" applyFont="1" applyFill="1" applyBorder="1"/>
    <x:xf numFmtId="0" fontId="38" fillId="0" borderId="0" xfId="0" applyNumberFormat="1" applyFont="1" applyFill="1" applyBorder="1" applyAlignment="1">
      <x:alignment wrapText="1"/>
    </x:xf>
    <x:xf numFmtId="0" fontId="0" fillId="23" borderId="0" xfId="0" applyNumberFormat="1" applyFont="1" applyFill="1" applyBorder="1"/>
    <x:xf numFmtId="0" fontId="39" fillId="23" borderId="0" xfId="0" applyNumberFormat="1" applyFont="1" applyFill="1" applyBorder="1"/>
    <x:xf numFmtId="0" fontId="39" fillId="23" borderId="12" xfId="0" applyNumberFormat="1" applyFont="1" applyFill="1" applyBorder="1"/>
    <x:xf numFmtId="0" fontId="39" fillId="23" borderId="13" xfId="0" applyNumberFormat="1" applyFont="1" applyFill="1" applyBorder="1"/>
    <x:xf numFmtId="0" fontId="39" fillId="23" borderId="14" xfId="0" applyNumberFormat="1" applyFont="1" applyFill="1" applyBorder="1"/>
    <x:xf numFmtId="0" fontId="39" fillId="23" borderId="15" xfId="0" applyNumberFormat="1" applyFont="1" applyFill="1" applyBorder="1"/>
    <x:xf numFmtId="0" fontId="39" fillId="23" xfId="0" applyNumberFormat="1" applyFont="1" applyFill="1" applyBorder="0"/>
    <x:xf numFmtId="0" fontId="39" fillId="23" borderId="16" xfId="0" applyNumberFormat="1" applyFont="1" applyFill="1" applyBorder="1"/>
    <x:xf numFmtId="0" fontId="39" fillId="23" borderId="17" xfId="0" applyNumberFormat="1" applyFont="1" applyFill="1" applyBorder="1"/>
    <x:xf numFmtId="0" fontId="39" fillId="23" borderId="18" xfId="0" applyNumberFormat="1" applyFont="1" applyFill="1" applyBorder="1"/>
    <x:xf numFmtId="0" fontId="39" fillId="23" borderId="19" xfId="0" applyNumberFormat="1" applyFont="1" applyFill="1" applyBorder="1"/>
    <x:xf numFmtId="0" fontId="39" fillId="23" borderId="12" xfId="0" applyNumberFormat="1" applyFont="1" applyFill="1" applyBorder="1" applyAlignment="1">
      <x:alignment wrapText="1"/>
    </x:xf>
    <x:xf numFmtId="0" fontId="39" fillId="23" borderId="13" xfId="0" applyNumberFormat="1" applyFont="1" applyFill="1" applyBorder="1" applyAlignment="1">
      <x:alignment wrapText="1"/>
    </x:xf>
    <x:xf numFmtId="0" fontId="39" fillId="23" borderId="14" xfId="0" applyNumberFormat="1" applyFont="1" applyFill="1" applyBorder="1" applyAlignment="1">
      <x:alignment wrapText="1"/>
    </x:xf>
    <x:xf numFmtId="0" fontId="39" fillId="23" borderId="15" xfId="0" applyNumberFormat="1" applyFont="1" applyFill="1" applyBorder="1" applyAlignment="1">
      <x:alignment wrapText="1"/>
    </x:xf>
    <x:xf numFmtId="0" fontId="39" fillId="23" xfId="0" applyNumberFormat="1" applyFont="1" applyFill="1" applyBorder="0" applyAlignment="1">
      <x:alignment wrapText="1"/>
    </x:xf>
    <x:xf numFmtId="0" fontId="39" fillId="23" borderId="16" xfId="0" applyNumberFormat="1" applyFont="1" applyFill="1" applyBorder="1" applyAlignment="1">
      <x:alignment wrapText="1"/>
    </x:xf>
    <x:xf numFmtId="0" fontId="39" fillId="23" borderId="17" xfId="0" applyNumberFormat="1" applyFont="1" applyFill="1" applyBorder="1" applyAlignment="1">
      <x:alignment wrapText="1"/>
    </x:xf>
    <x:xf numFmtId="0" fontId="39" fillId="23" borderId="18" xfId="0" applyNumberFormat="1" applyFont="1" applyFill="1" applyBorder="1" applyAlignment="1">
      <x:alignment wrapText="1"/>
    </x:xf>
    <x:xf numFmtId="0" fontId="39" fillId="23" borderId="19" xfId="0" applyNumberFormat="1" applyFont="1" applyFill="1" applyBorder="1" applyAlignment="1">
      <x:alignment wrapText="1"/>
    </x:xf>
    <x:xf numFmtId="0" fontId="39" fillId="23" borderId="12" xfId="0" applyNumberFormat="1" applyFont="1" applyFill="1" applyBorder="1" applyAlignment="1">
      <x:alignment vertical="center" wrapText="1"/>
    </x:xf>
    <x:xf numFmtId="0" fontId="39" fillId="23" borderId="13" xfId="0" applyNumberFormat="1" applyFont="1" applyFill="1" applyBorder="1" applyAlignment="1">
      <x:alignment vertical="center" wrapText="1"/>
    </x:xf>
    <x:xf numFmtId="0" fontId="39" fillId="23" borderId="14" xfId="0" applyNumberFormat="1" applyFont="1" applyFill="1" applyBorder="1" applyAlignment="1">
      <x:alignment vertical="center" wrapText="1"/>
    </x:xf>
    <x:xf numFmtId="0" fontId="39" fillId="23" borderId="15" xfId="0" applyNumberFormat="1" applyFont="1" applyFill="1" applyBorder="1" applyAlignment="1">
      <x:alignment vertical="center" wrapText="1"/>
    </x:xf>
    <x:xf numFmtId="0" fontId="39" fillId="23" xfId="0" applyNumberFormat="1" applyFont="1" applyFill="1" applyBorder="0" applyAlignment="1">
      <x:alignment vertical="center" wrapText="1"/>
    </x:xf>
    <x:xf numFmtId="0" fontId="39" fillId="23" borderId="16" xfId="0" applyNumberFormat="1" applyFont="1" applyFill="1" applyBorder="1" applyAlignment="1">
      <x:alignment vertical="center" wrapText="1"/>
    </x:xf>
    <x:xf numFmtId="0" fontId="39" fillId="23" borderId="17" xfId="0" applyNumberFormat="1" applyFont="1" applyFill="1" applyBorder="1" applyAlignment="1">
      <x:alignment vertical="center" wrapText="1"/>
    </x:xf>
    <x:xf numFmtId="0" fontId="39" fillId="23" borderId="18" xfId="0" applyNumberFormat="1" applyFont="1" applyFill="1" applyBorder="1" applyAlignment="1">
      <x:alignment vertical="center" wrapText="1"/>
    </x:xf>
    <x:xf numFmtId="0" fontId="39" fillId="23" borderId="19" xfId="0" applyNumberFormat="1" applyFont="1" applyFill="1" applyBorder="1" applyAlignment="1">
      <x:alignment vertical="center" wrapText="1"/>
    </x:xf>
    <x:xf numFmtId="0" fontId="40" fillId="20" borderId="0" xfId="0" applyNumberFormat="1" applyFont="1" applyFill="1" applyBorder="1"/>
    <x:xf numFmtId="0" fontId="40" fillId="20" borderId="0" xfId="0" applyNumberFormat="1" applyFont="1" applyFill="1" applyBorder="1" applyAlignment="1">
      <x:alignment wrapText="1"/>
    </x:xf>
    <x:xf numFmtId="0" fontId="41" fillId="17" borderId="0" xfId="0" applyNumberFormat="1" applyFont="1" applyFill="1" applyBorder="1"/>
    <x:xf numFmtId="0" fontId="41" fillId="17" borderId="0" xfId="0" applyNumberFormat="1" applyFont="1" applyFill="1" applyBorder="1" applyAlignment="1">
      <x:alignment horizontal="center"/>
    </x:xf>
    <x:xf numFmtId="0" fontId="0" fillId="24" borderId="0" xfId="0" applyNumberFormat="1" applyFont="1" applyFill="1" applyBorder="1"/>
    <x:xf numFmtId="0" fontId="42" fillId="24" borderId="0" xfId="0" applyNumberFormat="1" applyFont="1" applyFill="1" applyBorder="1"/>
    <x:xf numFmtId="0" fontId="42" fillId="24" borderId="42" xfId="0" applyNumberFormat="1" applyFont="1" applyFill="1" applyBorder="1"/>
    <x:xf numFmtId="0" fontId="42" fillId="24" borderId="42" xfId="0" applyNumberFormat="1" applyFont="1" applyFill="1" applyBorder="1" applyAlignment="1">
      <x:alignment wrapText="1"/>
    </x:xf>
    <x:xf numFmtId="0" fontId="42" fillId="24" borderId="42" xfId="0" applyNumberFormat="1" applyFont="1" applyFill="1" applyBorder="1" applyAlignment="1">
      <x:alignment vertical="center" wrapText="1"/>
    </x:xf>
    <x:xf numFmtId="0" fontId="43" fillId="0" borderId="42" xfId="0" applyNumberFormat="1" applyFont="1" applyFill="1" applyBorder="1" applyAlignment="1">
      <x:alignment vertical="center"/>
    </x:xf>
    <x:xf numFmtId="0" fontId="44" fillId="0" borderId="42" xfId="0" applyNumberFormat="1" applyFont="1" applyFill="1" applyBorder="1" applyAlignment="1">
      <x:alignment vertical="center"/>
    </x:xf>
    <x:xf numFmtId="0" fontId="0" fillId="21" borderId="0" xfId="0" applyNumberFormat="1" applyFont="1" applyFill="1" applyBorder="1"/>
    <x:xf numFmtId="0" fontId="0" fillId="25" borderId="0" xfId="0" applyNumberFormat="1" applyFont="1" applyFill="1" applyBorder="1"/>
    <x:xf numFmtId="0" fontId="0" fillId="26" borderId="0" xfId="0" applyNumberFormat="1" applyFont="1" applyFill="1" applyBorder="1"/>
    <x:xf numFmtId="0" fontId="0" fillId="27" borderId="0" xfId="0" applyNumberFormat="1" applyFont="1" applyFill="1" applyBorder="1"/>
    <x:xf numFmtId="0" fontId="33" fillId="21" borderId="0" xfId="0" applyNumberFormat="1" applyFont="1" applyFill="1" applyBorder="1"/>
    <x:xf numFmtId="0" fontId="33" fillId="25" borderId="0" xfId="0" applyNumberFormat="1" applyFont="1" applyFill="1" applyBorder="1"/>
    <x:xf numFmtId="0" fontId="33" fillId="26" borderId="0" xfId="0" applyNumberFormat="1" applyFont="1" applyFill="1" applyBorder="1"/>
    <x:xf numFmtId="0" fontId="33" fillId="27" borderId="0" xfId="0" applyNumberFormat="1" applyFont="1" applyFill="1" applyBorder="1"/>
    <x:xf numFmtId="0" fontId="33" fillId="21" borderId="42" xfId="0" applyNumberFormat="1" applyFont="1" applyFill="1" applyBorder="1"/>
    <x:xf numFmtId="0" fontId="33" fillId="25" borderId="42" xfId="0" applyNumberFormat="1" applyFont="1" applyFill="1" applyBorder="1"/>
    <x:xf numFmtId="0" fontId="33" fillId="26" borderId="42" xfId="0" applyNumberFormat="1" applyFont="1" applyFill="1" applyBorder="1"/>
    <x:xf numFmtId="0" fontId="33" fillId="27" borderId="42" xfId="0" applyNumberFormat="1" applyFont="1" applyFill="1" applyBorder="1"/>
    <x:xf numFmtId="0" fontId="33" fillId="25" borderId="42" xfId="0" applyNumberFormat="1" applyFont="1" applyFill="1" applyBorder="1" applyAlignment="1">
      <x:alignment vertical="center"/>
    </x:xf>
    <x:xf numFmtId="0" fontId="33" fillId="26" borderId="42" xfId="0" applyNumberFormat="1" applyFont="1" applyFill="1" applyBorder="1" applyAlignment="1">
      <x:alignment vertical="center"/>
    </x:xf>
    <x:xf numFmtId="0" fontId="33" fillId="27" borderId="42" xfId="0" applyNumberFormat="1" applyFont="1" applyFill="1" applyBorder="1" applyAlignment="1">
      <x:alignment vertical="center"/>
    </x:xf>
    <x:xf numFmtId="0" fontId="45" fillId="21" borderId="42" xfId="0" applyNumberFormat="1" applyFont="1" applyFill="1" applyBorder="1" applyAlignment="1">
      <x:alignment vertical="center"/>
    </x:xf>
    <x:xf numFmtId="0" fontId="45" fillId="25" borderId="42" xfId="0" applyNumberFormat="1" applyFont="1" applyFill="1" applyBorder="1" applyAlignment="1">
      <x:alignment vertical="center"/>
    </x:xf>
    <x:xf numFmtId="0" fontId="45" fillId="26" borderId="42" xfId="0" applyNumberFormat="1" applyFont="1" applyFill="1" applyBorder="1" applyAlignment="1">
      <x:alignment vertical="center"/>
    </x:xf>
    <x:xf numFmtId="0" fontId="45" fillId="27" borderId="42" xfId="0" applyNumberFormat="1" applyFont="1" applyFill="1" applyBorder="1" applyAlignment="1">
      <x:alignment vertical="center"/>
    </x:xf>
    <x:xf numFmtId="207" fontId="44" fillId="0" borderId="42" xfId="0" applyNumberFormat="1" applyFont="1" applyFill="1" applyBorder="1" applyAlignment="1">
      <x:alignment vertical="center"/>
    </x:xf>
    <x:xf numFmtId="205" fontId="44" fillId="0" borderId="42" xfId="0" applyNumberFormat="1" applyFont="1" applyFill="1" applyBorder="1" applyAlignment="1">
      <x:alignment vertical="center"/>
    </x:xf>
    <x:xf numFmtId="0" fontId="40" fillId="20" borderId="34" xfId="0" applyNumberFormat="1" applyFont="1" applyFill="1" applyBorder="1"/>
    <x:xf numFmtId="0" fontId="40" fillId="20" borderId="35" xfId="0" applyNumberFormat="1" applyFont="1" applyFill="1" applyBorder="1"/>
    <x:xf numFmtId="0" fontId="40" fillId="20" borderId="36" xfId="0" applyNumberFormat="1" applyFont="1" applyFill="1" applyBorder="1"/>
    <x:xf numFmtId="0" fontId="40" fillId="20" borderId="37" xfId="0" applyNumberFormat="1" applyFont="1" applyFill="1" applyBorder="1"/>
    <x:xf numFmtId="0" fontId="40" fillId="20" xfId="0" applyNumberFormat="1" applyFont="1" applyFill="1" applyBorder="0"/>
    <x:xf numFmtId="0" fontId="40" fillId="20" borderId="38" xfId="0" applyNumberFormat="1" applyFont="1" applyFill="1" applyBorder="1"/>
    <x:xf numFmtId="0" fontId="40" fillId="20" borderId="39" xfId="0" applyNumberFormat="1" applyFont="1" applyFill="1" applyBorder="1"/>
    <x:xf numFmtId="0" fontId="40" fillId="20" borderId="40" xfId="0" applyNumberFormat="1" applyFont="1" applyFill="1" applyBorder="1"/>
    <x:xf numFmtId="0" fontId="40" fillId="20" borderId="41" xfId="0" applyNumberFormat="1" applyFont="1" applyFill="1" applyBorder="1"/>
    <x:xf numFmtId="0" fontId="40" fillId="20" borderId="34" xfId="0" applyNumberFormat="1" applyFont="1" applyFill="1" applyBorder="1" applyAlignment="1">
      <x:alignment wrapText="1"/>
    </x:xf>
    <x:xf numFmtId="0" fontId="40" fillId="20" borderId="35" xfId="0" applyNumberFormat="1" applyFont="1" applyFill="1" applyBorder="1" applyAlignment="1">
      <x:alignment wrapText="1"/>
    </x:xf>
    <x:xf numFmtId="0" fontId="40" fillId="20" borderId="36" xfId="0" applyNumberFormat="1" applyFont="1" applyFill="1" applyBorder="1" applyAlignment="1">
      <x:alignment wrapText="1"/>
    </x:xf>
    <x:xf numFmtId="0" fontId="40" fillId="20" borderId="37" xfId="0" applyNumberFormat="1" applyFont="1" applyFill="1" applyBorder="1" applyAlignment="1">
      <x:alignment wrapText="1"/>
    </x:xf>
    <x:xf numFmtId="0" fontId="40" fillId="20" xfId="0" applyNumberFormat="1" applyFont="1" applyFill="1" applyBorder="0" applyAlignment="1">
      <x:alignment wrapText="1"/>
    </x:xf>
    <x:xf numFmtId="0" fontId="40" fillId="20" borderId="38" xfId="0" applyNumberFormat="1" applyFont="1" applyFill="1" applyBorder="1" applyAlignment="1">
      <x:alignment wrapText="1"/>
    </x:xf>
    <x:xf numFmtId="0" fontId="40" fillId="20" borderId="39" xfId="0" applyNumberFormat="1" applyFont="1" applyFill="1" applyBorder="1" applyAlignment="1">
      <x:alignment wrapText="1"/>
    </x:xf>
    <x:xf numFmtId="0" fontId="40" fillId="20" borderId="40" xfId="0" applyNumberFormat="1" applyFont="1" applyFill="1" applyBorder="1" applyAlignment="1">
      <x:alignment wrapText="1"/>
    </x:xf>
    <x:xf numFmtId="0" fontId="40" fillId="20" borderId="41" xfId="0" applyNumberFormat="1" applyFont="1" applyFill="1" applyBorder="1" applyAlignment="1">
      <x:alignment wrapText="1"/>
    </x:xf>
    <x:xf numFmtId="0" fontId="45" fillId="22" borderId="0" xfId="0" applyNumberFormat="1" applyFont="1" applyFill="1" applyBorder="1"/>
    <x:xf numFmtId="0" fontId="45" fillId="22" borderId="43" xfId="0" applyNumberFormat="1" applyFont="1" applyFill="1" applyBorder="1"/>
    <x:xf numFmtId="0" fontId="45" fillId="22" borderId="44" xfId="0" applyNumberFormat="1" applyFont="1" applyFill="1" applyBorder="1"/>
    <x:xf numFmtId="0" fontId="45" fillId="22" borderId="45" xfId="0" applyNumberFormat="1" applyFont="1" applyFill="1" applyBorder="1"/>
    <x:xf numFmtId="0" fontId="45" fillId="22" borderId="43" xfId="0" applyNumberFormat="1" applyFont="1" applyFill="1" applyBorder="1" applyAlignment="1">
      <x:alignment horizontal="center"/>
    </x:xf>
    <x:xf numFmtId="0" fontId="45" fillId="22" borderId="44" xfId="0" applyNumberFormat="1" applyFont="1" applyFill="1" applyBorder="1" applyAlignment="1">
      <x:alignment horizontal="center"/>
    </x:xf>
    <x:xf numFmtId="0" fontId="45" fillId="22" borderId="45" xfId="0" applyNumberFormat="1" applyFont="1" applyFill="1" applyBorder="1" applyAlignment="1">
      <x:alignment horizontal="center"/>
    </x:xf>
    <x:xf numFmtId="0" fontId="45" fillId="22" borderId="43" xfId="0" applyNumberFormat="1" applyFont="1" applyFill="1" applyBorder="1" applyAlignment="1">
      <x:alignment horizontal="center" vertical="center"/>
    </x:xf>
    <x:xf numFmtId="0" fontId="45" fillId="22" borderId="44" xfId="0" applyNumberFormat="1" applyFont="1" applyFill="1" applyBorder="1" applyAlignment="1">
      <x:alignment horizontal="center" vertical="center"/>
    </x:xf>
    <x:xf numFmtId="0" fontId="45" fillId="22" borderId="45" xfId="0" applyNumberFormat="1" applyFont="1" applyFill="1" applyBorder="1" applyAlignment="1">
      <x:alignment horizontal="center" vertical="center"/>
    </x:xf>
    <x:xf numFmtId="0" fontId="46" fillId="22" borderId="0" xfId="0" applyNumberFormat="1" applyFont="1" applyFill="1" applyBorder="1"/>
    <x:xf numFmtId="0" fontId="46" fillId="22" borderId="34" xfId="0" applyNumberFormat="1" applyFont="1" applyFill="1" applyBorder="1"/>
    <x:xf numFmtId="0" fontId="46" fillId="22" borderId="35" xfId="0" applyNumberFormat="1" applyFont="1" applyFill="1" applyBorder="1"/>
    <x:xf numFmtId="0" fontId="46" fillId="22" borderId="36" xfId="0" applyNumberFormat="1" applyFont="1" applyFill="1" applyBorder="1"/>
    <x:xf numFmtId="0" fontId="46" fillId="22" borderId="37" xfId="0" applyNumberFormat="1" applyFont="1" applyFill="1" applyBorder="1"/>
    <x:xf numFmtId="0" fontId="46" fillId="22" xfId="0" applyNumberFormat="1" applyFont="1" applyFill="1" applyBorder="0"/>
    <x:xf numFmtId="0" fontId="46" fillId="22" borderId="38" xfId="0" applyNumberFormat="1" applyFont="1" applyFill="1" applyBorder="1"/>
    <x:xf numFmtId="0" fontId="46" fillId="22" borderId="39" xfId="0" applyNumberFormat="1" applyFont="1" applyFill="1" applyBorder="1"/>
    <x:xf numFmtId="0" fontId="46" fillId="22" borderId="40" xfId="0" applyNumberFormat="1" applyFont="1" applyFill="1" applyBorder="1"/>
    <x:xf numFmtId="0" fontId="46" fillId="22" borderId="41" xfId="0" applyNumberFormat="1" applyFont="1" applyFill="1" applyBorder="1"/>
    <x:xf numFmtId="0" fontId="46" fillId="22" borderId="34" xfId="0" applyNumberFormat="1" applyFont="1" applyFill="1" applyBorder="1" applyAlignment="1">
      <x:alignment horizontal="center"/>
    </x:xf>
    <x:xf numFmtId="0" fontId="46" fillId="22" borderId="35" xfId="0" applyNumberFormat="1" applyFont="1" applyFill="1" applyBorder="1" applyAlignment="1">
      <x:alignment horizontal="center"/>
    </x:xf>
    <x:xf numFmtId="0" fontId="46" fillId="22" borderId="36" xfId="0" applyNumberFormat="1" applyFont="1" applyFill="1" applyBorder="1" applyAlignment="1">
      <x:alignment horizontal="center"/>
    </x:xf>
    <x:xf numFmtId="0" fontId="46" fillId="22" borderId="37" xfId="0" applyNumberFormat="1" applyFont="1" applyFill="1" applyBorder="1" applyAlignment="1">
      <x:alignment horizontal="center"/>
    </x:xf>
    <x:xf numFmtId="0" fontId="46" fillId="22" xfId="0" applyNumberFormat="1" applyFont="1" applyFill="1" applyBorder="0" applyAlignment="1">
      <x:alignment horizontal="center"/>
    </x:xf>
    <x:xf numFmtId="0" fontId="46" fillId="22" borderId="38" xfId="0" applyNumberFormat="1" applyFont="1" applyFill="1" applyBorder="1" applyAlignment="1">
      <x:alignment horizontal="center"/>
    </x:xf>
    <x:xf numFmtId="0" fontId="46" fillId="22" borderId="39" xfId="0" applyNumberFormat="1" applyFont="1" applyFill="1" applyBorder="1" applyAlignment="1">
      <x:alignment horizontal="center"/>
    </x:xf>
    <x:xf numFmtId="0" fontId="46" fillId="22" borderId="40" xfId="0" applyNumberFormat="1" applyFont="1" applyFill="1" applyBorder="1" applyAlignment="1">
      <x:alignment horizontal="center"/>
    </x:xf>
    <x:xf numFmtId="0" fontId="46" fillId="22" borderId="41" xfId="0" applyNumberFormat="1" applyFont="1" applyFill="1" applyBorder="1" applyAlignment="1">
      <x:alignment horizontal="center"/>
    </x:xf>
    <x:xf numFmtId="0" fontId="46" fillId="22" borderId="34" xfId="0" applyNumberFormat="1" applyFont="1" applyFill="1" applyBorder="1" applyAlignment="1">
      <x:alignment horizontal="center" vertical="center"/>
    </x:xf>
    <x:xf numFmtId="0" fontId="46" fillId="22" borderId="35" xfId="0" applyNumberFormat="1" applyFont="1" applyFill="1" applyBorder="1" applyAlignment="1">
      <x:alignment horizontal="center" vertical="center"/>
    </x:xf>
    <x:xf numFmtId="0" fontId="46" fillId="22" borderId="36" xfId="0" applyNumberFormat="1" applyFont="1" applyFill="1" applyBorder="1" applyAlignment="1">
      <x:alignment horizontal="center" vertical="center"/>
    </x:xf>
    <x:xf numFmtId="0" fontId="46" fillId="22" borderId="37" xfId="0" applyNumberFormat="1" applyFont="1" applyFill="1" applyBorder="1" applyAlignment="1">
      <x:alignment horizontal="center" vertical="center"/>
    </x:xf>
    <x:xf numFmtId="0" fontId="46" fillId="22" xfId="0" applyNumberFormat="1" applyFont="1" applyFill="1" applyBorder="0" applyAlignment="1">
      <x:alignment horizontal="center" vertical="center"/>
    </x:xf>
    <x:xf numFmtId="0" fontId="46" fillId="22" borderId="38" xfId="0" applyNumberFormat="1" applyFont="1" applyFill="1" applyBorder="1" applyAlignment="1">
      <x:alignment horizontal="center" vertical="center"/>
    </x:xf>
    <x:xf numFmtId="0" fontId="46" fillId="22" borderId="39" xfId="0" applyNumberFormat="1" applyFont="1" applyFill="1" applyBorder="1" applyAlignment="1">
      <x:alignment horizontal="center" vertical="center"/>
    </x:xf>
    <x:xf numFmtId="0" fontId="46" fillId="22" borderId="40" xfId="0" applyNumberFormat="1" applyFont="1" applyFill="1" applyBorder="1" applyAlignment="1">
      <x:alignment horizontal="center" vertical="center"/>
    </x:xf>
    <x:xf numFmtId="0" fontId="46" fillId="22" borderId="41" xfId="0" applyNumberFormat="1" applyFont="1" applyFill="1" applyBorder="1" applyAlignment="1">
      <x:alignment horizontal="center" vertical="center"/>
    </x:xf>
    <x:xf numFmtId="0" fontId="45" fillId="21" borderId="0" xfId="0" applyNumberFormat="1" applyFont="1" applyFill="1" applyBorder="1"/>
    <x:xf numFmtId="0" fontId="45" fillId="21" borderId="43" xfId="0" applyNumberFormat="1" applyFont="1" applyFill="1" applyBorder="1"/>
    <x:xf numFmtId="0" fontId="45" fillId="21" borderId="44" xfId="0" applyNumberFormat="1" applyFont="1" applyFill="1" applyBorder="1"/>
    <x:xf numFmtId="0" fontId="45" fillId="21" borderId="45" xfId="0" applyNumberFormat="1" applyFont="1" applyFill="1" applyBorder="1"/>
    <x:xf numFmtId="0" fontId="45" fillId="21" borderId="43" xfId="0" applyNumberFormat="1" applyFont="1" applyFill="1" applyBorder="1" applyAlignment="1">
      <x:alignment horizontal="center"/>
    </x:xf>
    <x:xf numFmtId="0" fontId="45" fillId="21" borderId="44" xfId="0" applyNumberFormat="1" applyFont="1" applyFill="1" applyBorder="1" applyAlignment="1">
      <x:alignment horizontal="center"/>
    </x:xf>
    <x:xf numFmtId="0" fontId="45" fillId="21" borderId="45" xfId="0" applyNumberFormat="1" applyFont="1" applyFill="1" applyBorder="1" applyAlignment="1">
      <x:alignment horizontal="center"/>
    </x:xf>
    <x:xf numFmtId="0" fontId="45" fillId="21" borderId="43" xfId="0" applyNumberFormat="1" applyFont="1" applyFill="1" applyBorder="1" applyAlignment="1">
      <x:alignment horizontal="center" vertical="center"/>
    </x:xf>
    <x:xf numFmtId="0" fontId="45" fillId="21" borderId="44" xfId="0" applyNumberFormat="1" applyFont="1" applyFill="1" applyBorder="1" applyAlignment="1">
      <x:alignment horizontal="center" vertical="center"/>
    </x:xf>
    <x:xf numFmtId="0" fontId="45" fillId="21" borderId="45" xfId="0" applyNumberFormat="1" applyFont="1" applyFill="1" applyBorder="1" applyAlignment="1">
      <x:alignment horizontal="center" vertical="center"/>
    </x:xf>
    <x:xf numFmtId="0" fontId="46" fillId="21" borderId="0" xfId="0" applyNumberFormat="1" applyFont="1" applyFill="1" applyBorder="1"/>
    <x:xf numFmtId="0" fontId="46" fillId="21" borderId="34" xfId="0" applyNumberFormat="1" applyFont="1" applyFill="1" applyBorder="1"/>
    <x:xf numFmtId="0" fontId="46" fillId="21" borderId="35" xfId="0" applyNumberFormat="1" applyFont="1" applyFill="1" applyBorder="1"/>
    <x:xf numFmtId="0" fontId="46" fillId="21" borderId="36" xfId="0" applyNumberFormat="1" applyFont="1" applyFill="1" applyBorder="1"/>
    <x:xf numFmtId="0" fontId="46" fillId="21" borderId="37" xfId="0" applyNumberFormat="1" applyFont="1" applyFill="1" applyBorder="1"/>
    <x:xf numFmtId="0" fontId="46" fillId="21" xfId="0" applyNumberFormat="1" applyFont="1" applyFill="1" applyBorder="0"/>
    <x:xf numFmtId="0" fontId="46" fillId="21" borderId="38" xfId="0" applyNumberFormat="1" applyFont="1" applyFill="1" applyBorder="1"/>
    <x:xf numFmtId="0" fontId="46" fillId="21" borderId="39" xfId="0" applyNumberFormat="1" applyFont="1" applyFill="1" applyBorder="1"/>
    <x:xf numFmtId="0" fontId="46" fillId="21" borderId="40" xfId="0" applyNumberFormat="1" applyFont="1" applyFill="1" applyBorder="1"/>
    <x:xf numFmtId="0" fontId="46" fillId="21" borderId="41" xfId="0" applyNumberFormat="1" applyFont="1" applyFill="1" applyBorder="1"/>
    <x:xf numFmtId="0" fontId="46" fillId="21" borderId="34" xfId="0" applyNumberFormat="1" applyFont="1" applyFill="1" applyBorder="1" applyAlignment="1">
      <x:alignment horizontal="center"/>
    </x:xf>
    <x:xf numFmtId="0" fontId="46" fillId="21" borderId="35" xfId="0" applyNumberFormat="1" applyFont="1" applyFill="1" applyBorder="1" applyAlignment="1">
      <x:alignment horizontal="center"/>
    </x:xf>
    <x:xf numFmtId="0" fontId="46" fillId="21" borderId="36" xfId="0" applyNumberFormat="1" applyFont="1" applyFill="1" applyBorder="1" applyAlignment="1">
      <x:alignment horizontal="center"/>
    </x:xf>
    <x:xf numFmtId="0" fontId="46" fillId="21" borderId="37" xfId="0" applyNumberFormat="1" applyFont="1" applyFill="1" applyBorder="1" applyAlignment="1">
      <x:alignment horizontal="center"/>
    </x:xf>
    <x:xf numFmtId="0" fontId="46" fillId="21" xfId="0" applyNumberFormat="1" applyFont="1" applyFill="1" applyBorder="0" applyAlignment="1">
      <x:alignment horizontal="center"/>
    </x:xf>
    <x:xf numFmtId="0" fontId="46" fillId="21" borderId="38" xfId="0" applyNumberFormat="1" applyFont="1" applyFill="1" applyBorder="1" applyAlignment="1">
      <x:alignment horizontal="center"/>
    </x:xf>
    <x:xf numFmtId="0" fontId="46" fillId="21" borderId="39" xfId="0" applyNumberFormat="1" applyFont="1" applyFill="1" applyBorder="1" applyAlignment="1">
      <x:alignment horizontal="center"/>
    </x:xf>
    <x:xf numFmtId="0" fontId="46" fillId="21" borderId="40" xfId="0" applyNumberFormat="1" applyFont="1" applyFill="1" applyBorder="1" applyAlignment="1">
      <x:alignment horizontal="center"/>
    </x:xf>
    <x:xf numFmtId="0" fontId="46" fillId="21" borderId="41" xfId="0" applyNumberFormat="1" applyFont="1" applyFill="1" applyBorder="1" applyAlignment="1">
      <x:alignment horizontal="center"/>
    </x:xf>
    <x:xf numFmtId="0" fontId="46" fillId="21" borderId="34" xfId="0" applyNumberFormat="1" applyFont="1" applyFill="1" applyBorder="1" applyAlignment="1">
      <x:alignment horizontal="center" vertical="center"/>
    </x:xf>
    <x:xf numFmtId="0" fontId="46" fillId="21" borderId="35" xfId="0" applyNumberFormat="1" applyFont="1" applyFill="1" applyBorder="1" applyAlignment="1">
      <x:alignment horizontal="center" vertical="center"/>
    </x:xf>
    <x:xf numFmtId="0" fontId="46" fillId="21" borderId="36" xfId="0" applyNumberFormat="1" applyFont="1" applyFill="1" applyBorder="1" applyAlignment="1">
      <x:alignment horizontal="center" vertical="center"/>
    </x:xf>
    <x:xf numFmtId="0" fontId="46" fillId="21" borderId="37" xfId="0" applyNumberFormat="1" applyFont="1" applyFill="1" applyBorder="1" applyAlignment="1">
      <x:alignment horizontal="center" vertical="center"/>
    </x:xf>
    <x:xf numFmtId="0" fontId="46" fillId="21" xfId="0" applyNumberFormat="1" applyFont="1" applyFill="1" applyBorder="0" applyAlignment="1">
      <x:alignment horizontal="center" vertical="center"/>
    </x:xf>
    <x:xf numFmtId="0" fontId="46" fillId="21" borderId="38" xfId="0" applyNumberFormat="1" applyFont="1" applyFill="1" applyBorder="1" applyAlignment="1">
      <x:alignment horizontal="center" vertical="center"/>
    </x:xf>
    <x:xf numFmtId="0" fontId="46" fillId="21" borderId="39" xfId="0" applyNumberFormat="1" applyFont="1" applyFill="1" applyBorder="1" applyAlignment="1">
      <x:alignment horizontal="center" vertical="center"/>
    </x:xf>
    <x:xf numFmtId="0" fontId="46" fillId="21" borderId="40" xfId="0" applyNumberFormat="1" applyFont="1" applyFill="1" applyBorder="1" applyAlignment="1">
      <x:alignment horizontal="center" vertical="center"/>
    </x:xf>
    <x:xf numFmtId="0" fontId="46" fillId="21" borderId="41" xfId="0" applyNumberFormat="1" applyFont="1" applyFill="1" applyBorder="1" applyAlignment="1">
      <x:alignment horizontal="center" vertical="center"/>
    </x:xf>
    <x:xf numFmtId="0" fontId="45" fillId="26" borderId="0" xfId="0" applyNumberFormat="1" applyFont="1" applyFill="1" applyBorder="1"/>
    <x:xf numFmtId="0" fontId="45" fillId="26" borderId="43" xfId="0" applyNumberFormat="1" applyFont="1" applyFill="1" applyBorder="1"/>
    <x:xf numFmtId="0" fontId="45" fillId="26" borderId="44" xfId="0" applyNumberFormat="1" applyFont="1" applyFill="1" applyBorder="1"/>
    <x:xf numFmtId="0" fontId="45" fillId="26" borderId="45" xfId="0" applyNumberFormat="1" applyFont="1" applyFill="1" applyBorder="1"/>
    <x:xf numFmtId="0" fontId="45" fillId="26" borderId="43" xfId="0" applyNumberFormat="1" applyFont="1" applyFill="1" applyBorder="1" applyAlignment="1">
      <x:alignment horizontal="center"/>
    </x:xf>
    <x:xf numFmtId="0" fontId="45" fillId="26" borderId="44" xfId="0" applyNumberFormat="1" applyFont="1" applyFill="1" applyBorder="1" applyAlignment="1">
      <x:alignment horizontal="center"/>
    </x:xf>
    <x:xf numFmtId="0" fontId="45" fillId="26" borderId="45" xfId="0" applyNumberFormat="1" applyFont="1" applyFill="1" applyBorder="1" applyAlignment="1">
      <x:alignment horizontal="center"/>
    </x:xf>
    <x:xf numFmtId="0" fontId="45" fillId="26" borderId="43" xfId="0" applyNumberFormat="1" applyFont="1" applyFill="1" applyBorder="1" applyAlignment="1">
      <x:alignment horizontal="center" vertical="center"/>
    </x:xf>
    <x:xf numFmtId="0" fontId="45" fillId="26" borderId="44" xfId="0" applyNumberFormat="1" applyFont="1" applyFill="1" applyBorder="1" applyAlignment="1">
      <x:alignment horizontal="center" vertical="center"/>
    </x:xf>
    <x:xf numFmtId="0" fontId="45" fillId="26" borderId="45" xfId="0" applyNumberFormat="1" applyFont="1" applyFill="1" applyBorder="1" applyAlignment="1">
      <x:alignment horizontal="center" vertical="center"/>
    </x:xf>
    <x:xf numFmtId="0" fontId="46" fillId="26" borderId="0" xfId="0" applyNumberFormat="1" applyFont="1" applyFill="1" applyBorder="1"/>
    <x:xf numFmtId="0" fontId="46" fillId="26" borderId="34" xfId="0" applyNumberFormat="1" applyFont="1" applyFill="1" applyBorder="1"/>
    <x:xf numFmtId="0" fontId="46" fillId="26" borderId="35" xfId="0" applyNumberFormat="1" applyFont="1" applyFill="1" applyBorder="1"/>
    <x:xf numFmtId="0" fontId="46" fillId="26" borderId="36" xfId="0" applyNumberFormat="1" applyFont="1" applyFill="1" applyBorder="1"/>
    <x:xf numFmtId="0" fontId="46" fillId="26" borderId="37" xfId="0" applyNumberFormat="1" applyFont="1" applyFill="1" applyBorder="1"/>
    <x:xf numFmtId="0" fontId="46" fillId="26" xfId="0" applyNumberFormat="1" applyFont="1" applyFill="1" applyBorder="0"/>
    <x:xf numFmtId="0" fontId="46" fillId="26" borderId="38" xfId="0" applyNumberFormat="1" applyFont="1" applyFill="1" applyBorder="1"/>
    <x:xf numFmtId="0" fontId="46" fillId="26" borderId="39" xfId="0" applyNumberFormat="1" applyFont="1" applyFill="1" applyBorder="1"/>
    <x:xf numFmtId="0" fontId="46" fillId="26" borderId="40" xfId="0" applyNumberFormat="1" applyFont="1" applyFill="1" applyBorder="1"/>
    <x:xf numFmtId="0" fontId="46" fillId="26" borderId="41" xfId="0" applyNumberFormat="1" applyFont="1" applyFill="1" applyBorder="1"/>
    <x:xf numFmtId="0" fontId="46" fillId="26" borderId="34" xfId="0" applyNumberFormat="1" applyFont="1" applyFill="1" applyBorder="1" applyAlignment="1">
      <x:alignment horizontal="center"/>
    </x:xf>
    <x:xf numFmtId="0" fontId="46" fillId="26" borderId="35" xfId="0" applyNumberFormat="1" applyFont="1" applyFill="1" applyBorder="1" applyAlignment="1">
      <x:alignment horizontal="center"/>
    </x:xf>
    <x:xf numFmtId="0" fontId="46" fillId="26" borderId="36" xfId="0" applyNumberFormat="1" applyFont="1" applyFill="1" applyBorder="1" applyAlignment="1">
      <x:alignment horizontal="center"/>
    </x:xf>
    <x:xf numFmtId="0" fontId="46" fillId="26" borderId="37" xfId="0" applyNumberFormat="1" applyFont="1" applyFill="1" applyBorder="1" applyAlignment="1">
      <x:alignment horizontal="center"/>
    </x:xf>
    <x:xf numFmtId="0" fontId="46" fillId="26" xfId="0" applyNumberFormat="1" applyFont="1" applyFill="1" applyBorder="0" applyAlignment="1">
      <x:alignment horizontal="center"/>
    </x:xf>
    <x:xf numFmtId="0" fontId="46" fillId="26" borderId="38" xfId="0" applyNumberFormat="1" applyFont="1" applyFill="1" applyBorder="1" applyAlignment="1">
      <x:alignment horizontal="center"/>
    </x:xf>
    <x:xf numFmtId="0" fontId="46" fillId="26" borderId="39" xfId="0" applyNumberFormat="1" applyFont="1" applyFill="1" applyBorder="1" applyAlignment="1">
      <x:alignment horizontal="center"/>
    </x:xf>
    <x:xf numFmtId="0" fontId="46" fillId="26" borderId="40" xfId="0" applyNumberFormat="1" applyFont="1" applyFill="1" applyBorder="1" applyAlignment="1">
      <x:alignment horizontal="center"/>
    </x:xf>
    <x:xf numFmtId="0" fontId="46" fillId="26" borderId="41" xfId="0" applyNumberFormat="1" applyFont="1" applyFill="1" applyBorder="1" applyAlignment="1">
      <x:alignment horizontal="center"/>
    </x:xf>
    <x:xf numFmtId="0" fontId="46" fillId="26" borderId="34" xfId="0" applyNumberFormat="1" applyFont="1" applyFill="1" applyBorder="1" applyAlignment="1">
      <x:alignment horizontal="center" vertical="center"/>
    </x:xf>
    <x:xf numFmtId="0" fontId="46" fillId="26" borderId="35" xfId="0" applyNumberFormat="1" applyFont="1" applyFill="1" applyBorder="1" applyAlignment="1">
      <x:alignment horizontal="center" vertical="center"/>
    </x:xf>
    <x:xf numFmtId="0" fontId="46" fillId="26" borderId="36" xfId="0" applyNumberFormat="1" applyFont="1" applyFill="1" applyBorder="1" applyAlignment="1">
      <x:alignment horizontal="center" vertical="center"/>
    </x:xf>
    <x:xf numFmtId="0" fontId="46" fillId="26" borderId="37" xfId="0" applyNumberFormat="1" applyFont="1" applyFill="1" applyBorder="1" applyAlignment="1">
      <x:alignment horizontal="center" vertical="center"/>
    </x:xf>
    <x:xf numFmtId="0" fontId="46" fillId="26" xfId="0" applyNumberFormat="1" applyFont="1" applyFill="1" applyBorder="0" applyAlignment="1">
      <x:alignment horizontal="center" vertical="center"/>
    </x:xf>
    <x:xf numFmtId="0" fontId="46" fillId="26" borderId="38" xfId="0" applyNumberFormat="1" applyFont="1" applyFill="1" applyBorder="1" applyAlignment="1">
      <x:alignment horizontal="center" vertical="center"/>
    </x:xf>
    <x:xf numFmtId="0" fontId="46" fillId="26" borderId="39" xfId="0" applyNumberFormat="1" applyFont="1" applyFill="1" applyBorder="1" applyAlignment="1">
      <x:alignment horizontal="center" vertical="center"/>
    </x:xf>
    <x:xf numFmtId="0" fontId="46" fillId="26" borderId="40" xfId="0" applyNumberFormat="1" applyFont="1" applyFill="1" applyBorder="1" applyAlignment="1">
      <x:alignment horizontal="center" vertical="center"/>
    </x:xf>
    <x:xf numFmtId="0" fontId="46" fillId="26" borderId="41" xfId="0" applyNumberFormat="1" applyFont="1" applyFill="1" applyBorder="1" applyAlignment="1">
      <x:alignment horizontal="center" vertical="center"/>
    </x:xf>
    <x:xf numFmtId="0" fontId="45" fillId="25" borderId="0" xfId="0" applyNumberFormat="1" applyFont="1" applyFill="1" applyBorder="1"/>
    <x:xf numFmtId="0" fontId="45" fillId="25" borderId="43" xfId="0" applyNumberFormat="1" applyFont="1" applyFill="1" applyBorder="1"/>
    <x:xf numFmtId="0" fontId="45" fillId="25" borderId="44" xfId="0" applyNumberFormat="1" applyFont="1" applyFill="1" applyBorder="1"/>
    <x:xf numFmtId="0" fontId="45" fillId="25" borderId="45" xfId="0" applyNumberFormat="1" applyFont="1" applyFill="1" applyBorder="1"/>
    <x:xf numFmtId="0" fontId="45" fillId="25" borderId="43" xfId="0" applyNumberFormat="1" applyFont="1" applyFill="1" applyBorder="1" applyAlignment="1">
      <x:alignment horizontal="center"/>
    </x:xf>
    <x:xf numFmtId="0" fontId="45" fillId="25" borderId="44" xfId="0" applyNumberFormat="1" applyFont="1" applyFill="1" applyBorder="1" applyAlignment="1">
      <x:alignment horizontal="center"/>
    </x:xf>
    <x:xf numFmtId="0" fontId="45" fillId="25" borderId="45" xfId="0" applyNumberFormat="1" applyFont="1" applyFill="1" applyBorder="1" applyAlignment="1">
      <x:alignment horizontal="center"/>
    </x:xf>
    <x:xf numFmtId="0" fontId="45" fillId="25" borderId="43" xfId="0" applyNumberFormat="1" applyFont="1" applyFill="1" applyBorder="1" applyAlignment="1">
      <x:alignment horizontal="center" vertical="center"/>
    </x:xf>
    <x:xf numFmtId="0" fontId="45" fillId="25" borderId="44" xfId="0" applyNumberFormat="1" applyFont="1" applyFill="1" applyBorder="1" applyAlignment="1">
      <x:alignment horizontal="center" vertical="center"/>
    </x:xf>
    <x:xf numFmtId="0" fontId="45" fillId="25" borderId="45" xfId="0" applyNumberFormat="1" applyFont="1" applyFill="1" applyBorder="1" applyAlignment="1">
      <x:alignment horizontal="center" vertical="center"/>
    </x:xf>
    <x:xf numFmtId="0" fontId="46" fillId="25" borderId="0" xfId="0" applyNumberFormat="1" applyFont="1" applyFill="1" applyBorder="1"/>
    <x:xf numFmtId="0" fontId="46" fillId="25" borderId="34" xfId="0" applyNumberFormat="1" applyFont="1" applyFill="1" applyBorder="1"/>
    <x:xf numFmtId="0" fontId="46" fillId="25" borderId="35" xfId="0" applyNumberFormat="1" applyFont="1" applyFill="1" applyBorder="1"/>
    <x:xf numFmtId="0" fontId="46" fillId="25" borderId="36" xfId="0" applyNumberFormat="1" applyFont="1" applyFill="1" applyBorder="1"/>
    <x:xf numFmtId="0" fontId="46" fillId="25" borderId="37" xfId="0" applyNumberFormat="1" applyFont="1" applyFill="1" applyBorder="1"/>
    <x:xf numFmtId="0" fontId="46" fillId="25" xfId="0" applyNumberFormat="1" applyFont="1" applyFill="1" applyBorder="0"/>
    <x:xf numFmtId="0" fontId="46" fillId="25" borderId="38" xfId="0" applyNumberFormat="1" applyFont="1" applyFill="1" applyBorder="1"/>
    <x:xf numFmtId="0" fontId="46" fillId="25" borderId="39" xfId="0" applyNumberFormat="1" applyFont="1" applyFill="1" applyBorder="1"/>
    <x:xf numFmtId="0" fontId="46" fillId="25" borderId="40" xfId="0" applyNumberFormat="1" applyFont="1" applyFill="1" applyBorder="1"/>
    <x:xf numFmtId="0" fontId="46" fillId="25" borderId="41" xfId="0" applyNumberFormat="1" applyFont="1" applyFill="1" applyBorder="1"/>
    <x:xf numFmtId="0" fontId="46" fillId="25" borderId="34" xfId="0" applyNumberFormat="1" applyFont="1" applyFill="1" applyBorder="1" applyAlignment="1">
      <x:alignment horizontal="center"/>
    </x:xf>
    <x:xf numFmtId="0" fontId="46" fillId="25" borderId="35" xfId="0" applyNumberFormat="1" applyFont="1" applyFill="1" applyBorder="1" applyAlignment="1">
      <x:alignment horizontal="center"/>
    </x:xf>
    <x:xf numFmtId="0" fontId="46" fillId="25" borderId="36" xfId="0" applyNumberFormat="1" applyFont="1" applyFill="1" applyBorder="1" applyAlignment="1">
      <x:alignment horizontal="center"/>
    </x:xf>
    <x:xf numFmtId="0" fontId="46" fillId="25" borderId="37" xfId="0" applyNumberFormat="1" applyFont="1" applyFill="1" applyBorder="1" applyAlignment="1">
      <x:alignment horizontal="center"/>
    </x:xf>
    <x:xf numFmtId="0" fontId="46" fillId="25" xfId="0" applyNumberFormat="1" applyFont="1" applyFill="1" applyBorder="0" applyAlignment="1">
      <x:alignment horizontal="center"/>
    </x:xf>
    <x:xf numFmtId="0" fontId="46" fillId="25" borderId="38" xfId="0" applyNumberFormat="1" applyFont="1" applyFill="1" applyBorder="1" applyAlignment="1">
      <x:alignment horizontal="center"/>
    </x:xf>
    <x:xf numFmtId="0" fontId="46" fillId="25" borderId="39" xfId="0" applyNumberFormat="1" applyFont="1" applyFill="1" applyBorder="1" applyAlignment="1">
      <x:alignment horizontal="center"/>
    </x:xf>
    <x:xf numFmtId="0" fontId="46" fillId="25" borderId="40" xfId="0" applyNumberFormat="1" applyFont="1" applyFill="1" applyBorder="1" applyAlignment="1">
      <x:alignment horizontal="center"/>
    </x:xf>
    <x:xf numFmtId="0" fontId="46" fillId="25" borderId="41" xfId="0" applyNumberFormat="1" applyFont="1" applyFill="1" applyBorder="1" applyAlignment="1">
      <x:alignment horizontal="center"/>
    </x:xf>
    <x:xf numFmtId="0" fontId="46" fillId="25" borderId="34" xfId="0" applyNumberFormat="1" applyFont="1" applyFill="1" applyBorder="1" applyAlignment="1">
      <x:alignment horizontal="center" vertical="center"/>
    </x:xf>
    <x:xf numFmtId="0" fontId="46" fillId="25" borderId="35" xfId="0" applyNumberFormat="1" applyFont="1" applyFill="1" applyBorder="1" applyAlignment="1">
      <x:alignment horizontal="center" vertical="center"/>
    </x:xf>
    <x:xf numFmtId="0" fontId="46" fillId="25" borderId="36" xfId="0" applyNumberFormat="1" applyFont="1" applyFill="1" applyBorder="1" applyAlignment="1">
      <x:alignment horizontal="center" vertical="center"/>
    </x:xf>
    <x:xf numFmtId="0" fontId="46" fillId="25" borderId="37" xfId="0" applyNumberFormat="1" applyFont="1" applyFill="1" applyBorder="1" applyAlignment="1">
      <x:alignment horizontal="center" vertical="center"/>
    </x:xf>
    <x:xf numFmtId="0" fontId="46" fillId="25" xfId="0" applyNumberFormat="1" applyFont="1" applyFill="1" applyBorder="0" applyAlignment="1">
      <x:alignment horizontal="center" vertical="center"/>
    </x:xf>
    <x:xf numFmtId="0" fontId="46" fillId="25" borderId="38" xfId="0" applyNumberFormat="1" applyFont="1" applyFill="1" applyBorder="1" applyAlignment="1">
      <x:alignment horizontal="center" vertical="center"/>
    </x:xf>
    <x:xf numFmtId="0" fontId="46" fillId="25" borderId="39" xfId="0" applyNumberFormat="1" applyFont="1" applyFill="1" applyBorder="1" applyAlignment="1">
      <x:alignment horizontal="center" vertical="center"/>
    </x:xf>
    <x:xf numFmtId="0" fontId="46" fillId="25" borderId="40" xfId="0" applyNumberFormat="1" applyFont="1" applyFill="1" applyBorder="1" applyAlignment="1">
      <x:alignment horizontal="center" vertical="center"/>
    </x:xf>
    <x:xf numFmtId="0" fontId="46" fillId="25" borderId="41" xfId="0" applyNumberFormat="1" applyFont="1" applyFill="1" applyBorder="1" applyAlignment="1">
      <x:alignment horizontal="center" vertical="center"/>
    </x:xf>
    <x:xf numFmtId="0" fontId="32" fillId="24" borderId="0" xfId="0" applyNumberFormat="1" applyFont="1" applyFill="1" applyBorder="1"/>
    <x:xf numFmtId="0" fontId="32" fillId="24" borderId="42" xfId="0" applyNumberFormat="1" applyFont="1" applyFill="1" applyBorder="1"/>
    <x:xf numFmtId="0" fontId="32" fillId="24" borderId="42" xfId="0" applyNumberFormat="1" applyFont="1" applyFill="1" applyBorder="1" applyAlignment="1">
      <x:alignment horizontal="center"/>
    </x:xf>
    <x:xf numFmtId="0" fontId="47" fillId="21" borderId="0" xfId="0" applyNumberFormat="1" applyFont="1" applyFill="1" applyBorder="1"/>
    <x:xf numFmtId="0" fontId="47" fillId="21" borderId="26" xfId="0" applyNumberFormat="1" applyFont="1" applyFill="1" applyBorder="1"/>
    <x:xf numFmtId="0" fontId="47" fillId="21" borderId="26" xfId="0" applyNumberFormat="1" applyFont="1" applyFill="1" applyBorder="1" applyAlignment="1">
      <x:alignment horizontal="center"/>
    </x:xf>
    <x:xf numFmtId="0" fontId="47" fillId="21" borderId="26" xfId="0" applyNumberFormat="1" applyFont="1" applyFill="1" applyBorder="1" applyAlignment="1">
      <x:alignment horizontal="center" vertical="center"/>
    </x:xf>
    <x:xf numFmtId="0" fontId="47" fillId="25" borderId="0" xfId="0" applyNumberFormat="1" applyFont="1" applyFill="1" applyBorder="1"/>
    <x:xf numFmtId="0" fontId="47" fillId="25" borderId="26" xfId="0" applyNumberFormat="1" applyFont="1" applyFill="1" applyBorder="1"/>
    <x:xf numFmtId="0" fontId="47" fillId="25" borderId="26" xfId="0" applyNumberFormat="1" applyFont="1" applyFill="1" applyBorder="1" applyAlignment="1">
      <x:alignment horizontal="center"/>
    </x:xf>
    <x:xf numFmtId="0" fontId="47" fillId="25" borderId="26" xfId="0" applyNumberFormat="1" applyFont="1" applyFill="1" applyBorder="1" applyAlignment="1">
      <x:alignment horizontal="center" vertical="center"/>
    </x:xf>
    <x:xf numFmtId="0" fontId="47" fillId="26" borderId="0" xfId="0" applyNumberFormat="1" applyFont="1" applyFill="1" applyBorder="1"/>
    <x:xf numFmtId="0" fontId="47" fillId="26" borderId="26" xfId="0" applyNumberFormat="1" applyFont="1" applyFill="1" applyBorder="1"/>
    <x:xf numFmtId="0" fontId="47" fillId="26" borderId="26" xfId="0" applyNumberFormat="1" applyFont="1" applyFill="1" applyBorder="1" applyAlignment="1">
      <x:alignment horizontal="center"/>
    </x:xf>
    <x:xf numFmtId="0" fontId="47" fillId="26" borderId="26" xfId="0" applyNumberFormat="1" applyFont="1" applyFill="1" applyBorder="1" applyAlignment="1">
      <x:alignment horizontal="center" vertical="center"/>
    </x:xf>
    <x:xf numFmtId="0" fontId="47" fillId="27" borderId="0" xfId="0" applyNumberFormat="1" applyFont="1" applyFill="1" applyBorder="1"/>
    <x:xf numFmtId="0" fontId="47" fillId="27" borderId="26" xfId="0" applyNumberFormat="1" applyFont="1" applyFill="1" applyBorder="1"/>
    <x:xf numFmtId="0" fontId="47" fillId="27" borderId="26" xfId="0" applyNumberFormat="1" applyFont="1" applyFill="1" applyBorder="1" applyAlignment="1">
      <x:alignment horizontal="center"/>
    </x:xf>
    <x:xf numFmtId="0" fontId="47" fillId="27" borderId="26" xfId="0" applyNumberFormat="1" applyFont="1" applyFill="1" applyBorder="1" applyAlignment="1">
      <x:alignment horizontal="center" vertical="center"/>
    </x:xf>
    <x:xf numFmtId="0" fontId="40" fillId="20" borderId="0" xfId="0" applyNumberFormat="1" applyFont="1" applyFill="1" applyBorder="1" applyAlignment="1">
      <x:alignment vertical="center" wrapText="1"/>
    </x:xf>
    <x:xf numFmtId="0" fontId="48" fillId="0" borderId="0" xfId="0" applyNumberFormat="1" applyFont="1" applyFill="1" applyBorder="1"/>
    <x:xf numFmtId="0" fontId="48" fillId="0" borderId="42" xfId="0" applyNumberFormat="1" applyFont="1" applyFill="1" applyBorder="1"/>
    <x:xf numFmtId="0" fontId="48" fillId="0" borderId="42" xfId="0" applyNumberFormat="1" applyFont="1" applyFill="1" applyBorder="1" applyAlignment="1">
      <x:alignment wrapText="1"/>
    </x:xf>
    <x:xf numFmtId="0" fontId="48" fillId="0" borderId="42" xfId="0" applyNumberFormat="1" applyFont="1" applyFill="1" applyBorder="1" applyAlignment="1">
      <x:alignment vertical="center" wrapText="1"/>
    </x:xf>
    <x:xf numFmtId="0" fontId="49" fillId="0" borderId="42" xfId="0" applyNumberFormat="1" applyFont="1" applyFill="1" applyBorder="1" applyAlignment="1">
      <x:alignment vertical="center" wrapText="1"/>
    </x:xf>
    <x:xf numFmtId="0" fontId="49" fillId="26" borderId="42" xfId="0" applyNumberFormat="1" applyFont="1" applyFill="1" applyBorder="1" applyAlignment="1">
      <x:alignment vertical="center" wrapText="1"/>
    </x:xf>
    <x:xf numFmtId="0" fontId="49" fillId="25" borderId="42" xfId="0" applyNumberFormat="1" applyFont="1" applyFill="1" applyBorder="1" applyAlignment="1">
      <x:alignment vertical="center" wrapText="1"/>
    </x:xf>
    <x:xf numFmtId="0" fontId="49" fillId="21" borderId="42" xfId="0" applyNumberFormat="1" applyFont="1" applyFill="1" applyBorder="1" applyAlignment="1">
      <x:alignment vertical="center" wrapText="1"/>
    </x:xf>
    <x:xf numFmtId="0" fontId="50" fillId="0" borderId="0" xfId="0" applyNumberFormat="1" applyFont="1" applyFill="1" applyBorder="1"/>
    <x:xf numFmtId="0" fontId="50" fillId="0" borderId="42" xfId="0" applyNumberFormat="1" applyFont="1" applyFill="1" applyBorder="1"/>
    <x:xf numFmtId="0" fontId="50" fillId="0" borderId="42" xfId="0" applyNumberFormat="1" applyFont="1" applyFill="1" applyBorder="1" applyAlignment="1">
      <x:alignment wrapText="1"/>
    </x:xf>
    <x:xf numFmtId="0" fontId="50" fillId="0" borderId="42" xfId="0" applyNumberFormat="1" applyFont="1" applyFill="1" applyBorder="1" applyAlignment="1">
      <x:alignment vertical="center" wrapText="1"/>
    </x:xf>
    <x:xf numFmtId="0" fontId="0" fillId="28" borderId="0" xfId="0" applyNumberFormat="1" applyFont="1" applyFill="1" applyBorder="1"/>
    <x:xf numFmtId="0" fontId="51" fillId="28" borderId="0" xfId="0" applyNumberFormat="1" applyFont="1" applyFill="1" applyBorder="1"/>
    <x:xf numFmtId="0" fontId="51" fillId="28" borderId="42" xfId="0" applyNumberFormat="1" applyFont="1" applyFill="1" applyBorder="1"/>
    <x:xf numFmtId="210" fontId="51" fillId="28" borderId="42" xfId="0" applyNumberFormat="1" applyFont="1" applyFill="1" applyBorder="1"/>
    <x:xf numFmtId="204" fontId="44" fillId="0" borderId="42" xfId="0" applyNumberFormat="1" applyFont="1" applyFill="1" applyBorder="1" applyAlignment="1">
      <x:alignment vertical="center"/>
    </x:xf>
    <x:xf numFmtId="205" fontId="33" fillId="0" borderId="42" xfId="0" applyNumberFormat="1" applyFont="1" applyFill="1" applyBorder="1" applyAlignment="1">
      <x:alignment vertical="center"/>
    </x:xf>
    <x:xf numFmtId="0" fontId="37" fillId="22" borderId="42" xfId="0" applyNumberFormat="1" applyFont="1" applyFill="1" applyBorder="1"/>
    <x:xf numFmtId="0" fontId="37" fillId="22" borderId="42" xfId="0" applyNumberFormat="1" applyFont="1" applyFill="1" applyBorder="1" applyAlignment="1">
      <x:alignment vertical="center"/>
    </x:xf>
    <x:xf numFmtId="0" fontId="52" fillId="22" borderId="42" xfId="0" applyNumberFormat="1" applyFont="1" applyFill="1" applyBorder="1" applyAlignment="1">
      <x:alignment vertical="center"/>
    </x:xf>
    <x:xf numFmtId="211" fontId="33" fillId="0" borderId="42" xfId="0" applyNumberFormat="1" applyFont="1" applyFill="1" applyBorder="1" applyAlignment="1">
      <x:alignment vertical="center"/>
    </x:xf>
    <x:xf numFmtId="212" fontId="44" fillId="0" borderId="42" xfId="0" applyNumberFormat="1" applyFont="1" applyFill="1" applyBorder="1" applyAlignment="1">
      <x:alignment vertical="center"/>
    </x:xf>
    <x:xf numFmtId="0" fontId="33" fillId="22" borderId="42" xfId="0" applyNumberFormat="1" applyFont="1" applyFill="1" applyBorder="1" applyAlignment="1">
      <x:alignment vertical="center"/>
    </x:xf>
    <x:xf numFmtId="0" fontId="53" fillId="22" borderId="42" xfId="0" applyNumberFormat="1" applyFont="1" applyFill="1" applyBorder="1" applyAlignment="1">
      <x:alignment vertical="center"/>
    </x:xf>
    <x:xf numFmtId="0" fontId="54" fillId="22" borderId="42" xfId="0" applyNumberFormat="1" applyFont="1" applyFill="1" applyBorder="1"/>
    <x:xf numFmtId="0" fontId="55" fillId="23" borderId="0" xfId="0" applyNumberFormat="1" applyFont="1" applyFill="1" applyBorder="1"/>
    <x:xf numFmtId="0" fontId="55" fillId="23" borderId="12" xfId="0" applyNumberFormat="1" applyFont="1" applyFill="1" applyBorder="1"/>
    <x:xf numFmtId="0" fontId="55" fillId="23" borderId="13" xfId="0" applyNumberFormat="1" applyFont="1" applyFill="1" applyBorder="1"/>
    <x:xf numFmtId="0" fontId="55" fillId="23" borderId="14" xfId="0" applyNumberFormat="1" applyFont="1" applyFill="1" applyBorder="1"/>
    <x:xf numFmtId="0" fontId="55" fillId="23" borderId="15" xfId="0" applyNumberFormat="1" applyFont="1" applyFill="1" applyBorder="1"/>
    <x:xf numFmtId="0" fontId="55" fillId="23" xfId="0" applyNumberFormat="1" applyFont="1" applyFill="1" applyBorder="0"/>
    <x:xf numFmtId="0" fontId="55" fillId="23" borderId="16" xfId="0" applyNumberFormat="1" applyFont="1" applyFill="1" applyBorder="1"/>
    <x:xf numFmtId="0" fontId="55" fillId="23" borderId="17" xfId="0" applyNumberFormat="1" applyFont="1" applyFill="1" applyBorder="1"/>
    <x:xf numFmtId="0" fontId="55" fillId="23" borderId="18" xfId="0" applyNumberFormat="1" applyFont="1" applyFill="1" applyBorder="1"/>
    <x:xf numFmtId="0" fontId="55" fillId="23" borderId="19" xfId="0" applyNumberFormat="1" applyFont="1" applyFill="1" applyBorder="1"/>
    <x:xf numFmtId="0" fontId="55" fillId="23" borderId="12" xfId="0" applyNumberFormat="1" applyFont="1" applyFill="1" applyBorder="1" applyAlignment="1">
      <x:alignment wrapText="1"/>
    </x:xf>
    <x:xf numFmtId="0" fontId="55" fillId="23" borderId="13" xfId="0" applyNumberFormat="1" applyFont="1" applyFill="1" applyBorder="1" applyAlignment="1">
      <x:alignment wrapText="1"/>
    </x:xf>
    <x:xf numFmtId="0" fontId="55" fillId="23" borderId="14" xfId="0" applyNumberFormat="1" applyFont="1" applyFill="1" applyBorder="1" applyAlignment="1">
      <x:alignment wrapText="1"/>
    </x:xf>
    <x:xf numFmtId="0" fontId="55" fillId="23" borderId="15" xfId="0" applyNumberFormat="1" applyFont="1" applyFill="1" applyBorder="1" applyAlignment="1">
      <x:alignment wrapText="1"/>
    </x:xf>
    <x:xf numFmtId="0" fontId="55" fillId="23" xfId="0" applyNumberFormat="1" applyFont="1" applyFill="1" applyBorder="0" applyAlignment="1">
      <x:alignment wrapText="1"/>
    </x:xf>
    <x:xf numFmtId="0" fontId="55" fillId="23" borderId="16" xfId="0" applyNumberFormat="1" applyFont="1" applyFill="1" applyBorder="1" applyAlignment="1">
      <x:alignment wrapText="1"/>
    </x:xf>
    <x:xf numFmtId="0" fontId="55" fillId="23" borderId="17" xfId="0" applyNumberFormat="1" applyFont="1" applyFill="1" applyBorder="1" applyAlignment="1">
      <x:alignment wrapText="1"/>
    </x:xf>
    <x:xf numFmtId="0" fontId="55" fillId="23" borderId="18" xfId="0" applyNumberFormat="1" applyFont="1" applyFill="1" applyBorder="1" applyAlignment="1">
      <x:alignment wrapText="1"/>
    </x:xf>
    <x:xf numFmtId="0" fontId="55" fillId="23" borderId="19" xfId="0" applyNumberFormat="1" applyFont="1" applyFill="1" applyBorder="1" applyAlignment="1">
      <x:alignment wrapText="1"/>
    </x:xf>
    <x:xf numFmtId="0" fontId="55" fillId="23" borderId="12" xfId="0" applyNumberFormat="1" applyFont="1" applyFill="1" applyBorder="1" applyAlignment="1">
      <x:alignment vertical="center" wrapText="1"/>
    </x:xf>
    <x:xf numFmtId="0" fontId="55" fillId="23" borderId="13" xfId="0" applyNumberFormat="1" applyFont="1" applyFill="1" applyBorder="1" applyAlignment="1">
      <x:alignment vertical="center" wrapText="1"/>
    </x:xf>
    <x:xf numFmtId="0" fontId="55" fillId="23" borderId="14" xfId="0" applyNumberFormat="1" applyFont="1" applyFill="1" applyBorder="1" applyAlignment="1">
      <x:alignment vertical="center" wrapText="1"/>
    </x:xf>
    <x:xf numFmtId="0" fontId="55" fillId="23" borderId="15" xfId="0" applyNumberFormat="1" applyFont="1" applyFill="1" applyBorder="1" applyAlignment="1">
      <x:alignment vertical="center" wrapText="1"/>
    </x:xf>
    <x:xf numFmtId="0" fontId="55" fillId="23" xfId="0" applyNumberFormat="1" applyFont="1" applyFill="1" applyBorder="0" applyAlignment="1">
      <x:alignment vertical="center" wrapText="1"/>
    </x:xf>
    <x:xf numFmtId="0" fontId="55" fillId="23" borderId="16" xfId="0" applyNumberFormat="1" applyFont="1" applyFill="1" applyBorder="1" applyAlignment="1">
      <x:alignment vertical="center" wrapText="1"/>
    </x:xf>
    <x:xf numFmtId="0" fontId="55" fillId="23" borderId="17" xfId="0" applyNumberFormat="1" applyFont="1" applyFill="1" applyBorder="1" applyAlignment="1">
      <x:alignment vertical="center" wrapText="1"/>
    </x:xf>
    <x:xf numFmtId="0" fontId="55" fillId="23" borderId="18" xfId="0" applyNumberFormat="1" applyFont="1" applyFill="1" applyBorder="1" applyAlignment="1">
      <x:alignment vertical="center" wrapText="1"/>
    </x:xf>
    <x:xf numFmtId="0" fontId="55" fillId="23" borderId="19" xfId="0" applyNumberFormat="1" applyFont="1" applyFill="1" applyBorder="1" applyAlignment="1">
      <x:alignment vertical="center" wrapText="1"/>
    </x:xf>
    <x:xf numFmtId="0" fontId="0" fillId="29" borderId="0" xfId="0" applyNumberFormat="1" applyFont="1" applyFill="1" applyBorder="1"/>
    <x:xf numFmtId="0" fontId="1" fillId="29" borderId="0" xfId="0" applyNumberFormat="1" applyFont="1" applyFill="1" applyBorder="1"/>
    <x:xf numFmtId="0" fontId="1" fillId="29" borderId="0" xfId="0" applyNumberFormat="1" applyFont="1" applyFill="1" applyBorder="1" applyAlignment="1">
      <x:alignment vertical="center"/>
    </x:xf>
    <x:xf numFmtId="0" fontId="0" fillId="30" borderId="0" xfId="0" applyNumberFormat="1" applyFont="1" applyFill="1" applyBorder="1"/>
    <x:xf numFmtId="0" fontId="56" fillId="30" borderId="0" xfId="0" applyNumberFormat="1" applyFont="1" applyFill="1" applyBorder="1"/>
    <x:xf numFmtId="0" fontId="56" fillId="30" borderId="0" xfId="0" applyNumberFormat="1" applyFont="1" applyFill="1" applyBorder="1" applyAlignment="1">
      <x:alignment wrapText="1"/>
    </x:xf>
    <x:xf numFmtId="0" fontId="56" fillId="30" borderId="0" xfId="0" applyNumberFormat="1" applyFont="1" applyFill="1" applyBorder="1" applyAlignment="1">
      <x:alignment vertical="center" wrapText="1"/>
    </x:xf>
    <x:xf numFmtId="0" fontId="0" fillId="31" borderId="0" xfId="0" applyNumberFormat="1" applyFont="1" applyFill="1" applyBorder="1"/>
    <x:xf numFmtId="0" fontId="0" fillId="32" borderId="0" xfId="0" applyNumberFormat="1" applyFont="1" applyFill="1" applyBorder="1"/>
    <x:xf numFmtId="0" fontId="0" fillId="32" borderId="46" xfId="0" applyNumberFormat="1" applyFont="1" applyFill="1" applyBorder="1"/>
    <x:xf numFmtId="0" fontId="0" fillId="32" borderId="47" xfId="0" applyNumberFormat="1" applyFont="1" applyFill="1" applyBorder="1"/>
    <x:xf numFmtId="0" fontId="0" fillId="32" borderId="48" xfId="0" applyNumberFormat="1" applyFont="1" applyFill="1" applyBorder="1"/>
    <x:xf numFmtId="0" fontId="0" fillId="32" borderId="46" xfId="0" applyNumberFormat="1" applyFont="1" applyFill="1" applyBorder="1" applyAlignment="1">
      <x:alignment vertical="center"/>
    </x:xf>
    <x:xf numFmtId="0" fontId="0" fillId="32" borderId="47" xfId="0" applyNumberFormat="1" applyFont="1" applyFill="1" applyBorder="1" applyAlignment="1">
      <x:alignment vertical="center"/>
    </x:xf>
    <x:xf numFmtId="0" fontId="0" fillId="32" borderId="48" xfId="0" applyNumberFormat="1" applyFont="1" applyFill="1" applyBorder="1" applyAlignment="1">
      <x:alignment vertical="center"/>
    </x:xf>
    <x:xf numFmtId="0" fontId="57" fillId="32" borderId="46" xfId="0" applyNumberFormat="1" applyFont="1" applyFill="1" applyBorder="1" applyAlignment="1">
      <x:alignment vertical="center"/>
    </x:xf>
    <x:xf numFmtId="0" fontId="57" fillId="32" borderId="47" xfId="0" applyNumberFormat="1" applyFont="1" applyFill="1" applyBorder="1" applyAlignment="1">
      <x:alignment vertical="center"/>
    </x:xf>
    <x:xf numFmtId="0" fontId="0" fillId="33" borderId="47" xfId="0" applyNumberFormat="1" applyFont="1" applyFill="1" applyBorder="1" applyAlignment="1">
      <x:alignment vertical="center"/>
    </x:xf>
    <x:xf numFmtId="0" fontId="58" fillId="33" borderId="47" xfId="0" applyNumberFormat="1" applyFont="1" applyFill="1" applyBorder="1" applyAlignment="1">
      <x:alignment vertical="center"/>
    </x:xf>
    <x:xf numFmtId="0" fontId="58" fillId="33" borderId="46" xfId="0" applyNumberFormat="1" applyFont="1" applyFill="1" applyBorder="1" applyAlignment="1">
      <x:alignment vertical="center"/>
    </x:xf>
    <x:xf numFmtId="0" fontId="58" fillId="33" borderId="48" xfId="0" applyNumberFormat="1" applyFont="1" applyFill="1" applyBorder="1" applyAlignment="1">
      <x:alignment vertical="center"/>
    </x:xf>
    <x:xf numFmtId="0" fontId="58" fillId="33" borderId="46" xfId="0" applyNumberFormat="1" applyFont="1" applyFill="1" applyBorder="1" applyAlignment="1">
      <x:alignment horizontal="center" vertical="center"/>
    </x:xf>
    <x:xf numFmtId="0" fontId="58" fillId="33" borderId="48" xfId="0" applyNumberFormat="1" applyFont="1" applyFill="1" applyBorder="1" applyAlignment="1">
      <x:alignment horizontal="center" vertical="center"/>
    </x:xf>
    <x:xf numFmtId="204" fontId="58" fillId="33" borderId="46" xfId="0" applyNumberFormat="1" applyFont="1" applyFill="1" applyBorder="1" applyAlignment="1">
      <x:alignment vertical="center"/>
    </x:xf>
    <x:xf numFmtId="204" fontId="58" fillId="33" borderId="48" xfId="0" applyNumberFormat="1" applyFont="1" applyFill="1" applyBorder="1" applyAlignment="1">
      <x:alignment vertical="center"/>
    </x:xf>
    <x:xf numFmtId="204" fontId="58" fillId="33" borderId="46" xfId="0" applyNumberFormat="1" applyFont="1" applyFill="1" applyBorder="1" applyAlignment="1">
      <x:alignment horizontal="center" vertical="center"/>
    </x:xf>
    <x:xf numFmtId="204" fontId="58" fillId="33" borderId="48" xfId="0" applyNumberFormat="1" applyFont="1" applyFill="1" applyBorder="1" applyAlignment="1">
      <x:alignment horizontal="center" vertical="center"/>
    </x:xf>
    <x:xf numFmtId="0" fontId="0" fillId="29" borderId="47" xfId="0" applyNumberFormat="1" applyFont="1" applyFill="1" applyBorder="1" applyAlignment="1">
      <x:alignment vertical="center"/>
    </x:xf>
    <x:xf numFmtId="0" fontId="0" fillId="29" borderId="48" xfId="0" applyNumberFormat="1" applyFont="1" applyFill="1" applyBorder="1" applyAlignment="1">
      <x:alignment vertical="center"/>
    </x:xf>
    <x:xf numFmtId="0" fontId="17" fillId="29" borderId="47" xfId="0" applyNumberFormat="1" applyFont="1" applyFill="1" applyBorder="1" applyAlignment="1">
      <x:alignment vertical="center"/>
    </x:xf>
    <x:xf numFmtId="0" fontId="17" fillId="29" borderId="48" xfId="0" applyNumberFormat="1" applyFont="1" applyFill="1" applyBorder="1" applyAlignment="1">
      <x:alignment vertical="center"/>
    </x:xf>
    <x:xf numFmtId="0" fontId="17" fillId="29" borderId="46" xfId="0" applyNumberFormat="1" applyFont="1" applyFill="1" applyBorder="1" applyAlignment="1">
      <x:alignment vertical="center"/>
    </x:xf>
    <x:xf numFmtId="0" fontId="17" fillId="29" borderId="46" xfId="0" applyNumberFormat="1" applyFont="1" applyFill="1" applyBorder="1" applyAlignment="1">
      <x:alignment horizontal="center" vertical="center"/>
    </x:xf>
    <x:xf numFmtId="0" fontId="17" fillId="29" borderId="48" xfId="0" applyNumberFormat="1" applyFont="1" applyFill="1" applyBorder="1" applyAlignment="1">
      <x:alignment horizontal="center" vertical="center"/>
    </x:xf>
    <x:xf numFmtId="0" fontId="0" fillId="34" borderId="0" xfId="0" applyNumberFormat="1" applyFont="1" applyFill="1" applyBorder="1"/>
    <x:xf numFmtId="0" fontId="32" fillId="34" borderId="0" xfId="0" applyNumberFormat="1" applyFont="1" applyFill="1" applyBorder="1"/>
    <x:xf numFmtId="0" fontId="32" fillId="34" borderId="0" xfId="0" applyNumberFormat="1" applyFont="1" applyFill="1" applyBorder="1" applyAlignment="1">
      <x:alignment vertical="center"/>
    </x:xf>
    <x:xf numFmtId="0" fontId="0" fillId="35" borderId="0" xfId="0" applyNumberFormat="1" applyFont="1" applyFill="1" applyBorder="1"/>
    <x:xf numFmtId="0" fontId="57" fillId="35" borderId="0" xfId="0" applyNumberFormat="1" applyFont="1" applyFill="1" applyBorder="1"/>
    <x:xf numFmtId="0" fontId="57" fillId="35" borderId="49" xfId="0" applyNumberFormat="1" applyFont="1" applyFill="1" applyBorder="1"/>
    <x:xf numFmtId="0" fontId="57" fillId="35" borderId="50" xfId="0" applyNumberFormat="1" applyFont="1" applyFill="1" applyBorder="1"/>
    <x:xf numFmtId="0" fontId="57" fillId="35" borderId="51" xfId="0" applyNumberFormat="1" applyFont="1" applyFill="1" applyBorder="1"/>
    <x:xf numFmtId="0" fontId="57" fillId="35" borderId="52" xfId="0" applyNumberFormat="1" applyFont="1" applyFill="1" applyBorder="1"/>
    <x:xf numFmtId="0" fontId="57" fillId="35" borderId="53" xfId="0" applyNumberFormat="1" applyFont="1" applyFill="1" applyBorder="1"/>
    <x:xf numFmtId="0" fontId="57" fillId="35" borderId="54" xfId="0" applyNumberFormat="1" applyFont="1" applyFill="1" applyBorder="1"/>
    <x:xf numFmtId="0" fontId="59" fillId="31" borderId="0" xfId="0" applyNumberFormat="1" applyFont="1" applyFill="1" applyBorder="1"/>
    <x:xf numFmtId="0" fontId="59" fillId="31" borderId="49" xfId="0" applyNumberFormat="1" applyFont="1" applyFill="1" applyBorder="1"/>
    <x:xf numFmtId="0" fontId="59" fillId="31" borderId="50" xfId="0" applyNumberFormat="1" applyFont="1" applyFill="1" applyBorder="1"/>
    <x:xf numFmtId="0" fontId="59" fillId="31" borderId="51" xfId="0" applyNumberFormat="1" applyFont="1" applyFill="1" applyBorder="1"/>
    <x:xf numFmtId="0" fontId="59" fillId="31" borderId="52" xfId="0" applyNumberFormat="1" applyFont="1" applyFill="1" applyBorder="1"/>
    <x:xf numFmtId="0" fontId="59" fillId="31" borderId="53" xfId="0" applyNumberFormat="1" applyFont="1" applyFill="1" applyBorder="1"/>
    <x:xf numFmtId="0" fontId="59" fillId="31" borderId="54" xfId="0" applyNumberFormat="1" applyFont="1" applyFill="1" applyBorder="1"/>
    <x:xf numFmtId="204" fontId="59" fillId="31" borderId="49" xfId="0" applyNumberFormat="1" applyFont="1" applyFill="1" applyBorder="1"/>
    <x:xf numFmtId="204" fontId="59" fillId="31" borderId="50" xfId="0" applyNumberFormat="1" applyFont="1" applyFill="1" applyBorder="1"/>
    <x:xf numFmtId="204" fontId="59" fillId="31" borderId="51" xfId="0" applyNumberFormat="1" applyFont="1" applyFill="1" applyBorder="1"/>
    <x:xf numFmtId="204" fontId="59" fillId="31" borderId="52" xfId="0" applyNumberFormat="1" applyFont="1" applyFill="1" applyBorder="1"/>
    <x:xf numFmtId="204" fontId="59" fillId="31" borderId="53" xfId="0" applyNumberFormat="1" applyFont="1" applyFill="1" applyBorder="1"/>
    <x:xf numFmtId="204" fontId="59" fillId="31" borderId="54" xfId="0" applyNumberFormat="1" applyFont="1" applyFill="1" applyBorder="1"/>
    <x:xf numFmtId="204" fontId="59" fillId="31" borderId="49" xfId="0" applyNumberFormat="1" applyFont="1" applyFill="1" applyBorder="1" applyAlignment="1">
      <x:alignment horizontal="center"/>
    </x:xf>
    <x:xf numFmtId="204" fontId="59" fillId="31" borderId="50" xfId="0" applyNumberFormat="1" applyFont="1" applyFill="1" applyBorder="1" applyAlignment="1">
      <x:alignment horizontal="center"/>
    </x:xf>
    <x:xf numFmtId="204" fontId="59" fillId="31" borderId="51" xfId="0" applyNumberFormat="1" applyFont="1" applyFill="1" applyBorder="1" applyAlignment="1">
      <x:alignment horizontal="center"/>
    </x:xf>
    <x:xf numFmtId="204" fontId="59" fillId="31" borderId="52" xfId="0" applyNumberFormat="1" applyFont="1" applyFill="1" applyBorder="1" applyAlignment="1">
      <x:alignment horizontal="center"/>
    </x:xf>
    <x:xf numFmtId="204" fontId="59" fillId="31" borderId="53" xfId="0" applyNumberFormat="1" applyFont="1" applyFill="1" applyBorder="1" applyAlignment="1">
      <x:alignment horizontal="center"/>
    </x:xf>
    <x:xf numFmtId="204" fontId="59" fillId="31" borderId="54" xfId="0" applyNumberFormat="1" applyFont="1" applyFill="1" applyBorder="1" applyAlignment="1">
      <x:alignment horizontal="center"/>
    </x:xf>
    <x:xf numFmtId="0" fontId="57" fillId="30" borderId="0" xfId="0" applyNumberFormat="1" applyFont="1" applyFill="1" applyBorder="1"/>
    <x:xf numFmtId="0" fontId="57" fillId="30" borderId="46" xfId="0" applyNumberFormat="1" applyFont="1" applyFill="1" applyBorder="1"/>
    <x:xf numFmtId="0" fontId="57" fillId="30" borderId="48" xfId="0" applyNumberFormat="1" applyFont="1" applyFill="1" applyBorder="1"/>
    <x:xf numFmtId="0" fontId="57" fillId="30" borderId="46" xfId="0" applyNumberFormat="1" applyFont="1" applyFill="1" applyBorder="1" applyAlignment="1">
      <x:alignment horizontal="center"/>
    </x:xf>
    <x:xf numFmtId="0" fontId="57" fillId="30" borderId="48" xfId="0" applyNumberFormat="1" applyFont="1" applyFill="1" applyBorder="1" applyAlignment="1">
      <x:alignment horizontal="center"/>
    </x:xf>
    <x:xf numFmtId="0" fontId="0" fillId="36" borderId="0" xfId="0" applyNumberFormat="1" applyFont="1" applyFill="1" applyBorder="1"/>
    <x:xf numFmtId="0" fontId="60" fillId="36" borderId="0" xfId="0" applyNumberFormat="1" applyFont="1" applyFill="1" applyBorder="1"/>
    <x:xf numFmtId="0" fontId="60" fillId="36" borderId="49" xfId="0" applyNumberFormat="1" applyFont="1" applyFill="1" applyBorder="1"/>
    <x:xf numFmtId="0" fontId="60" fillId="36" borderId="50" xfId="0" applyNumberFormat="1" applyFont="1" applyFill="1" applyBorder="1"/>
    <x:xf numFmtId="0" fontId="60" fillId="36" borderId="51" xfId="0" applyNumberFormat="1" applyFont="1" applyFill="1" applyBorder="1"/>
    <x:xf numFmtId="0" fontId="60" fillId="36" borderId="52" xfId="0" applyNumberFormat="1" applyFont="1" applyFill="1" applyBorder="1"/>
    <x:xf numFmtId="0" fontId="60" fillId="36" borderId="53" xfId="0" applyNumberFormat="1" applyFont="1" applyFill="1" applyBorder="1"/>
    <x:xf numFmtId="0" fontId="60" fillId="36" borderId="54" xfId="0" applyNumberFormat="1" applyFont="1" applyFill="1" applyBorder="1"/>
    <x:xf numFmtId="0" fontId="60" fillId="36" borderId="49" xfId="0" applyNumberFormat="1" applyFont="1" applyFill="1" applyBorder="1" applyAlignment="1">
      <x:alignment wrapText="1"/>
    </x:xf>
    <x:xf numFmtId="0" fontId="60" fillId="36" borderId="50" xfId="0" applyNumberFormat="1" applyFont="1" applyFill="1" applyBorder="1" applyAlignment="1">
      <x:alignment wrapText="1"/>
    </x:xf>
    <x:xf numFmtId="0" fontId="60" fillId="36" borderId="51" xfId="0" applyNumberFormat="1" applyFont="1" applyFill="1" applyBorder="1" applyAlignment="1">
      <x:alignment wrapText="1"/>
    </x:xf>
    <x:xf numFmtId="0" fontId="60" fillId="36" borderId="52" xfId="0" applyNumberFormat="1" applyFont="1" applyFill="1" applyBorder="1" applyAlignment="1">
      <x:alignment wrapText="1"/>
    </x:xf>
    <x:xf numFmtId="0" fontId="60" fillId="36" borderId="53" xfId="0" applyNumberFormat="1" applyFont="1" applyFill="1" applyBorder="1" applyAlignment="1">
      <x:alignment wrapText="1"/>
    </x:xf>
    <x:xf numFmtId="0" fontId="60" fillId="36" borderId="54" xfId="0" applyNumberFormat="1" applyFont="1" applyFill="1" applyBorder="1" applyAlignment="1">
      <x:alignment wrapText="1"/>
    </x:xf>
    <x:xf numFmtId="0" fontId="60" fillId="36" borderId="49" xfId="0" applyNumberFormat="1" applyFont="1" applyFill="1" applyBorder="1" applyAlignment="1">
      <x:alignment horizontal="center" wrapText="1"/>
    </x:xf>
    <x:xf numFmtId="0" fontId="60" fillId="36" borderId="50" xfId="0" applyNumberFormat="1" applyFont="1" applyFill="1" applyBorder="1" applyAlignment="1">
      <x:alignment horizontal="center" wrapText="1"/>
    </x:xf>
    <x:xf numFmtId="0" fontId="60" fillId="36" borderId="51" xfId="0" applyNumberFormat="1" applyFont="1" applyFill="1" applyBorder="1" applyAlignment="1">
      <x:alignment horizontal="center" wrapText="1"/>
    </x:xf>
    <x:xf numFmtId="0" fontId="60" fillId="36" borderId="52" xfId="0" applyNumberFormat="1" applyFont="1" applyFill="1" applyBorder="1" applyAlignment="1">
      <x:alignment horizontal="center" wrapText="1"/>
    </x:xf>
    <x:xf numFmtId="0" fontId="60" fillId="36" borderId="53" xfId="0" applyNumberFormat="1" applyFont="1" applyFill="1" applyBorder="1" applyAlignment="1">
      <x:alignment horizontal="center" wrapText="1"/>
    </x:xf>
    <x:xf numFmtId="0" fontId="60" fillId="36" borderId="54" xfId="0" applyNumberFormat="1" applyFont="1" applyFill="1" applyBorder="1" applyAlignment="1">
      <x:alignment horizontal="center" wrapText="1"/>
    </x:xf>
    <x:xf numFmtId="0" fontId="60" fillId="36" borderId="49" xfId="0" applyNumberFormat="1" applyFont="1" applyFill="1" applyBorder="1" applyAlignment="1">
      <x:alignment horizontal="center" vertical="center" wrapText="1"/>
    </x:xf>
    <x:xf numFmtId="0" fontId="60" fillId="36" borderId="50" xfId="0" applyNumberFormat="1" applyFont="1" applyFill="1" applyBorder="1" applyAlignment="1">
      <x:alignment horizontal="center" vertical="center" wrapText="1"/>
    </x:xf>
    <x:xf numFmtId="0" fontId="60" fillId="36" borderId="51" xfId="0" applyNumberFormat="1" applyFont="1" applyFill="1" applyBorder="1" applyAlignment="1">
      <x:alignment horizontal="center" vertical="center" wrapText="1"/>
    </x:xf>
    <x:xf numFmtId="0" fontId="60" fillId="36" borderId="52" xfId="0" applyNumberFormat="1" applyFont="1" applyFill="1" applyBorder="1" applyAlignment="1">
      <x:alignment horizontal="center" vertical="center" wrapText="1"/>
    </x:xf>
    <x:xf numFmtId="0" fontId="60" fillId="36" borderId="53" xfId="0" applyNumberFormat="1" applyFont="1" applyFill="1" applyBorder="1" applyAlignment="1">
      <x:alignment horizontal="center" vertical="center" wrapText="1"/>
    </x:xf>
    <x:xf numFmtId="0" fontId="60" fillId="36" borderId="54" xfId="0" applyNumberFormat="1" applyFont="1" applyFill="1" applyBorder="1" applyAlignment="1">
      <x:alignment horizontal="center" vertical="center" wrapText="1"/>
    </x:xf>
    <x:xf numFmtId="0" fontId="57" fillId="35" borderId="55" xfId="0" applyNumberFormat="1" applyFont="1" applyFill="1" applyBorder="1"/>
    <x:xf numFmtId="0" fontId="57" fillId="35" xfId="0" applyNumberFormat="1" applyFont="1" applyFill="1" applyBorder="0"/>
    <x:xf numFmtId="0" fontId="57" fillId="35" borderId="56" xfId="0" applyNumberFormat="1" applyFont="1" applyFill="1" applyBorder="1"/>
    <x:xf numFmtId="0" fontId="57" fillId="31" borderId="0" xfId="0" applyNumberFormat="1" applyFont="1" applyFill="1" applyBorder="1"/>
    <x:xf numFmtId="0" fontId="57" fillId="31" borderId="49" xfId="0" applyNumberFormat="1" applyFont="1" applyFill="1" applyBorder="1"/>
    <x:xf numFmtId="0" fontId="57" fillId="31" borderId="55" xfId="0" applyNumberFormat="1" applyFont="1" applyFill="1" applyBorder="1"/>
    <x:xf numFmtId="0" fontId="57" fillId="31" borderId="50" xfId="0" applyNumberFormat="1" applyFont="1" applyFill="1" applyBorder="1"/>
    <x:xf numFmtId="0" fontId="57" fillId="31" borderId="51" xfId="0" applyNumberFormat="1" applyFont="1" applyFill="1" applyBorder="1"/>
    <x:xf numFmtId="0" fontId="57" fillId="31" xfId="0" applyNumberFormat="1" applyFont="1" applyFill="1" applyBorder="0"/>
    <x:xf numFmtId="0" fontId="57" fillId="31" borderId="52" xfId="0" applyNumberFormat="1" applyFont="1" applyFill="1" applyBorder="1"/>
    <x:xf numFmtId="0" fontId="57" fillId="31" borderId="53" xfId="0" applyNumberFormat="1" applyFont="1" applyFill="1" applyBorder="1"/>
    <x:xf numFmtId="0" fontId="57" fillId="31" borderId="56" xfId="0" applyNumberFormat="1" applyFont="1" applyFill="1" applyBorder="1"/>
    <x:xf numFmtId="0" fontId="57" fillId="31" borderId="54" xfId="0" applyNumberFormat="1" applyFont="1" applyFill="1" applyBorder="1"/>
    <x:xf numFmtId="0" fontId="57" fillId="31" borderId="49" xfId="0" applyNumberFormat="1" applyFont="1" applyFill="1" applyBorder="1" applyAlignment="1">
      <x:alignment horizontal="center"/>
    </x:xf>
    <x:xf numFmtId="0" fontId="57" fillId="31" borderId="55" xfId="0" applyNumberFormat="1" applyFont="1" applyFill="1" applyBorder="1" applyAlignment="1">
      <x:alignment horizontal="center"/>
    </x:xf>
    <x:xf numFmtId="0" fontId="57" fillId="31" borderId="50" xfId="0" applyNumberFormat="1" applyFont="1" applyFill="1" applyBorder="1" applyAlignment="1">
      <x:alignment horizontal="center"/>
    </x:xf>
    <x:xf numFmtId="0" fontId="57" fillId="31" borderId="51" xfId="0" applyNumberFormat="1" applyFont="1" applyFill="1" applyBorder="1" applyAlignment="1">
      <x:alignment horizontal="center"/>
    </x:xf>
    <x:xf numFmtId="0" fontId="57" fillId="31" xfId="0" applyNumberFormat="1" applyFont="1" applyFill="1" applyBorder="0" applyAlignment="1">
      <x:alignment horizontal="center"/>
    </x:xf>
    <x:xf numFmtId="0" fontId="57" fillId="31" borderId="52" xfId="0" applyNumberFormat="1" applyFont="1" applyFill="1" applyBorder="1" applyAlignment="1">
      <x:alignment horizontal="center"/>
    </x:xf>
    <x:xf numFmtId="0" fontId="57" fillId="31" borderId="53" xfId="0" applyNumberFormat="1" applyFont="1" applyFill="1" applyBorder="1" applyAlignment="1">
      <x:alignment horizontal="center"/>
    </x:xf>
    <x:xf numFmtId="0" fontId="57" fillId="31" borderId="56" xfId="0" applyNumberFormat="1" applyFont="1" applyFill="1" applyBorder="1" applyAlignment="1">
      <x:alignment horizontal="center"/>
    </x:xf>
    <x:xf numFmtId="0" fontId="57" fillId="31" borderId="54" xfId="0" applyNumberFormat="1" applyFont="1" applyFill="1" applyBorder="1" applyAlignment="1">
      <x:alignment horizontal="center"/>
    </x:xf>
    <x:xf numFmtId="212" fontId="57" fillId="31" borderId="51" xfId="0" applyNumberFormat="1" applyFont="1" applyFill="1" applyBorder="1" applyAlignment="1">
      <x:alignment horizontal="center"/>
    </x:xf>
    <x:xf numFmtId="212" fontId="57" fillId="31" xfId="0" applyNumberFormat="1" applyFont="1" applyFill="1" applyBorder="0" applyAlignment="1">
      <x:alignment horizontal="center"/>
    </x:xf>
    <x:xf numFmtId="212" fontId="57" fillId="31" borderId="52" xfId="0" applyNumberFormat="1" applyFont="1" applyFill="1" applyBorder="1" applyAlignment="1">
      <x:alignment horizontal="center"/>
    </x:xf>
    <x:xf numFmtId="0" fontId="0" fillId="37" borderId="0" xfId="0" applyNumberFormat="1" applyFont="1" applyFill="1" applyBorder="1"/>
    <x:xf numFmtId="0" fontId="17" fillId="37" borderId="0" xfId="0" applyNumberFormat="1" applyFont="1" applyFill="1" applyBorder="1"/>
    <x:xf numFmtId="0" fontId="17" fillId="37" borderId="46" xfId="0" applyNumberFormat="1" applyFont="1" applyFill="1" applyBorder="1"/>
    <x:xf numFmtId="0" fontId="17" fillId="37" borderId="47" xfId="0" applyNumberFormat="1" applyFont="1" applyFill="1" applyBorder="1"/>
    <x:xf numFmtId="0" fontId="17" fillId="37" borderId="48" xfId="0" applyNumberFormat="1" applyFont="1" applyFill="1" applyBorder="1"/>
    <x:xf numFmtId="0" fontId="17" fillId="37" borderId="46" xfId="0" applyNumberFormat="1" applyFont="1" applyFill="1" applyBorder="1" applyAlignment="1">
      <x:alignment horizontal="center"/>
    </x:xf>
    <x:xf numFmtId="0" fontId="17" fillId="37" borderId="47" xfId="0" applyNumberFormat="1" applyFont="1" applyFill="1" applyBorder="1" applyAlignment="1">
      <x:alignment horizontal="center"/>
    </x:xf>
    <x:xf numFmtId="0" fontId="17" fillId="37" borderId="48" xfId="0" applyNumberFormat="1" applyFont="1" applyFill="1" applyBorder="1" applyAlignment="1">
      <x:alignment horizontal="center"/>
    </x:xf>
    <x:xf numFmtId="0" fontId="61" fillId="0" borderId="0" xfId="0" applyNumberFormat="1" applyFont="1" applyFill="1" applyBorder="1"/>
    <x:xf numFmtId="0" fontId="61" fillId="0" borderId="49" xfId="0" applyNumberFormat="1" applyFont="1" applyFill="1" applyBorder="1"/>
    <x:xf numFmtId="0" fontId="61" fillId="0" borderId="55" xfId="0" applyNumberFormat="1" applyFont="1" applyFill="1" applyBorder="1"/>
    <x:xf numFmtId="0" fontId="61" fillId="0" borderId="50" xfId="0" applyNumberFormat="1" applyFont="1" applyFill="1" applyBorder="1"/>
    <x:xf numFmtId="0" fontId="61" fillId="0" borderId="51" xfId="0" applyNumberFormat="1" applyFont="1" applyFill="1" applyBorder="1"/>
    <x:xf numFmtId="0" fontId="61" fillId="0" xfId="0" applyNumberFormat="1" applyFont="1" applyFill="1" applyBorder="0"/>
    <x:xf numFmtId="0" fontId="61" fillId="0" borderId="52" xfId="0" applyNumberFormat="1" applyFont="1" applyFill="1" applyBorder="1"/>
    <x:xf numFmtId="0" fontId="61" fillId="0" borderId="53" xfId="0" applyNumberFormat="1" applyFont="1" applyFill="1" applyBorder="1"/>
    <x:xf numFmtId="0" fontId="61" fillId="0" borderId="56" xfId="0" applyNumberFormat="1" applyFont="1" applyFill="1" applyBorder="1"/>
    <x:xf numFmtId="0" fontId="61" fillId="0" borderId="54" xfId="0" applyNumberFormat="1" applyFont="1" applyFill="1" applyBorder="1"/>
    <x:xf numFmtId="0" fontId="61" fillId="0" borderId="49" xfId="0" applyNumberFormat="1" applyFont="1" applyFill="1" applyBorder="1" applyAlignment="1">
      <x:alignment vertical="center"/>
    </x:xf>
    <x:xf numFmtId="0" fontId="61" fillId="0" borderId="55" xfId="0" applyNumberFormat="1" applyFont="1" applyFill="1" applyBorder="1" applyAlignment="1">
      <x:alignment vertical="center"/>
    </x:xf>
    <x:xf numFmtId="0" fontId="61" fillId="0" borderId="50" xfId="0" applyNumberFormat="1" applyFont="1" applyFill="1" applyBorder="1" applyAlignment="1">
      <x:alignment vertical="center"/>
    </x:xf>
    <x:xf numFmtId="0" fontId="61" fillId="0" borderId="51" xfId="0" applyNumberFormat="1" applyFont="1" applyFill="1" applyBorder="1" applyAlignment="1">
      <x:alignment vertical="center"/>
    </x:xf>
    <x:xf numFmtId="0" fontId="61" fillId="0" xfId="0" applyNumberFormat="1" applyFont="1" applyFill="1" applyBorder="0" applyAlignment="1">
      <x:alignment vertical="center"/>
    </x:xf>
    <x:xf numFmtId="0" fontId="61" fillId="0" borderId="52" xfId="0" applyNumberFormat="1" applyFont="1" applyFill="1" applyBorder="1" applyAlignment="1">
      <x:alignment vertical="center"/>
    </x:xf>
    <x:xf numFmtId="0" fontId="61" fillId="0" borderId="53" xfId="0" applyNumberFormat="1" applyFont="1" applyFill="1" applyBorder="1" applyAlignment="1">
      <x:alignment vertical="center"/>
    </x:xf>
    <x:xf numFmtId="0" fontId="61" fillId="0" borderId="56" xfId="0" applyNumberFormat="1" applyFont="1" applyFill="1" applyBorder="1" applyAlignment="1">
      <x:alignment vertical="center"/>
    </x:xf>
    <x:xf numFmtId="0" fontId="61" fillId="0" borderId="54" xfId="0" applyNumberFormat="1" applyFont="1" applyFill="1" applyBorder="1" applyAlignment="1">
      <x:alignment vertical="center"/>
    </x:xf>
    <x:xf numFmtId="213" fontId="61" fillId="0" borderId="55" xfId="0" applyNumberFormat="1" applyFont="1" applyFill="1" applyBorder="1" applyAlignment="1">
      <x:alignment vertical="center"/>
    </x:xf>
    <x:xf numFmtId="205" fontId="61" fillId="0" xfId="0" applyNumberFormat="1" applyFont="1" applyFill="1" applyBorder="0" applyAlignment="1">
      <x:alignment vertical="center"/>
    </x:xf>
    <x:xf numFmtId="213" fontId="61" fillId="0" xfId="0" applyNumberFormat="1" applyFont="1" applyFill="1" applyBorder="0" applyAlignment="1">
      <x:alignment vertical="center"/>
    </x:xf>
    <x:xf numFmtId="205" fontId="61" fillId="0" borderId="56" xfId="0" applyNumberFormat="1" applyFont="1" applyFill="1" applyBorder="1" applyAlignment="1">
      <x:alignment vertical="center"/>
    </x:xf>
    <x:xf numFmtId="0" fontId="61" fillId="38" borderId="55" xfId="0" applyNumberFormat="1" applyFont="1" applyFill="1" applyBorder="1" applyAlignment="1">
      <x:alignment vertical="center"/>
    </x:xf>
    <x:xf numFmtId="0" fontId="61" fillId="38" xfId="0" applyNumberFormat="1" applyFont="1" applyFill="1" applyBorder="0" applyAlignment="1">
      <x:alignment vertical="center"/>
    </x:xf>
    <x:xf numFmtId="0" fontId="61" fillId="38" borderId="56" xfId="0" applyNumberFormat="1" applyFont="1" applyFill="1" applyBorder="1" applyAlignment="1">
      <x:alignment vertical="center"/>
    </x:xf>
    <x:xf numFmtId="0" fontId="62" fillId="38" borderId="55" xfId="0" applyNumberFormat="1" applyFont="1" applyFill="1" applyBorder="1" applyAlignment="1">
      <x:alignment vertical="center"/>
    </x:xf>
    <x:xf numFmtId="0" fontId="62" fillId="38" xfId="0" applyNumberFormat="1" applyFont="1" applyFill="1" applyBorder="0" applyAlignment="1">
      <x:alignment vertical="center"/>
    </x:xf>
    <x:xf numFmtId="0" fontId="62" fillId="38" borderId="56" xfId="0" applyNumberFormat="1" applyFont="1" applyFill="1" applyBorder="1" applyAlignment="1">
      <x:alignment vertical="center"/>
    </x:xf>
    <x:xf numFmtId="0" fontId="62" fillId="38" borderId="57" xfId="0" applyNumberFormat="1" applyFont="1" applyFill="1" applyBorder="1" applyAlignment="1">
      <x:alignment vertical="center"/>
    </x:xf>
    <x:xf numFmtId="0" fontId="62" fillId="38" borderId="58" xfId="0" applyNumberFormat="1" applyFont="1" applyFill="1" applyBorder="1" applyAlignment="1">
      <x:alignment vertical="center"/>
    </x:xf>
    <x:xf numFmtId="0" fontId="62" fillId="38" borderId="59" xfId="0" applyNumberFormat="1" applyFont="1" applyFill="1" applyBorder="1" applyAlignment="1">
      <x:alignment vertical="center"/>
    </x:xf>
    <x:xf numFmtId="204" fontId="62" fillId="38" borderId="57" xfId="0" applyNumberFormat="1" applyFont="1" applyFill="1" applyBorder="1" applyAlignment="1">
      <x:alignment vertical="center"/>
    </x:xf>
    <x:xf numFmtId="204" fontId="62" fillId="38" borderId="58" xfId="0" applyNumberFormat="1" applyFont="1" applyFill="1" applyBorder="1" applyAlignment="1">
      <x:alignment vertical="center"/>
    </x:xf>
    <x:xf numFmtId="204" fontId="62" fillId="38" borderId="59" xfId="0" applyNumberFormat="1" applyFont="1" applyFill="1" applyBorder="1" applyAlignment="1">
      <x:alignment vertical="center"/>
    </x:xf>
    <x:xf numFmtId="204" fontId="62" fillId="38" borderId="57" xfId="0" applyNumberFormat="1" applyFont="1" applyFill="1" applyBorder="1" applyAlignment="1">
      <x:alignment horizontal="center" vertical="center"/>
    </x:xf>
    <x:xf numFmtId="204" fontId="62" fillId="38" borderId="58" xfId="0" applyNumberFormat="1" applyFont="1" applyFill="1" applyBorder="1" applyAlignment="1">
      <x:alignment horizontal="center" vertical="center"/>
    </x:xf>
    <x:xf numFmtId="204" fontId="62" fillId="38" borderId="59" xfId="0" applyNumberFormat="1" applyFont="1" applyFill="1" applyBorder="1" applyAlignment="1">
      <x:alignment horizontal="center" vertical="center"/>
    </x:xf>
    <x:xf numFmtId="212" fontId="61" fillId="0" borderId="55" xfId="0" applyNumberFormat="1" applyFont="1" applyFill="1" applyBorder="1" applyAlignment="1">
      <x:alignment vertical="center"/>
    </x:xf>
    <x:xf numFmtId="212" fontId="61" fillId="0" xfId="0" applyNumberFormat="1" applyFont="1" applyFill="1" applyBorder="0" applyAlignment="1">
      <x:alignment vertical="center"/>
    </x:xf>
    <x:xf numFmtId="212" fontId="61" fillId="0" borderId="56" xfId="0" applyNumberFormat="1" applyFont="1" applyFill="1" applyBorder="1" applyAlignment="1">
      <x:alignment vertical="center"/>
    </x:xf>
    <x:xf numFmtId="204" fontId="61" fillId="0" borderId="55" xfId="0" applyNumberFormat="1" applyFont="1" applyFill="1" applyBorder="1"/>
    <x:xf numFmtId="204" fontId="61" fillId="0" xfId="0" applyNumberFormat="1" applyFont="1" applyFill="1" applyBorder="0"/>
    <x:xf numFmtId="204" fontId="61" fillId="0" borderId="56" xfId="0" applyNumberFormat="1" applyFont="1" applyFill="1" applyBorder="1"/>
    <x:xf numFmtId="205" fontId="61" fillId="0" borderId="55" xfId="0" applyNumberFormat="1" applyFont="1" applyFill="1" applyBorder="1"/>
    <x:xf numFmtId="205" fontId="61" fillId="0" xfId="0" applyNumberFormat="1" applyFont="1" applyFill="1" applyBorder="0"/>
    <x:xf numFmtId="205" fontId="61" fillId="0" borderId="56" xfId="0" applyNumberFormat="1" applyFont="1" applyFill="1" applyBorder="1"/>
    <x:xf numFmtId="0" fontId="63" fillId="0" borderId="0" xfId="0" applyNumberFormat="1" applyFont="1" applyFill="1" applyBorder="1"/>
    <x:xf numFmtId="0" fontId="63" fillId="0" borderId="49" xfId="0" applyNumberFormat="1" applyFont="1" applyFill="1" applyBorder="1"/>
    <x:xf numFmtId="0" fontId="63" fillId="0" borderId="50" xfId="0" applyNumberFormat="1" applyFont="1" applyFill="1" applyBorder="1"/>
    <x:xf numFmtId="0" fontId="63" fillId="0" borderId="51" xfId="0" applyNumberFormat="1" applyFont="1" applyFill="1" applyBorder="1"/>
    <x:xf numFmtId="0" fontId="63" fillId="0" borderId="52" xfId="0" applyNumberFormat="1" applyFont="1" applyFill="1" applyBorder="1"/>
    <x:xf numFmtId="0" fontId="63" fillId="0" borderId="53" xfId="0" applyNumberFormat="1" applyFont="1" applyFill="1" applyBorder="1"/>
    <x:xf numFmtId="0" fontId="63" fillId="0" borderId="54" xfId="0" applyNumberFormat="1" applyFont="1" applyFill="1" applyBorder="1"/>
    <x:xf numFmtId="0" fontId="63" fillId="37" borderId="49" xfId="0" applyNumberFormat="1" applyFont="1" applyFill="1" applyBorder="1"/>
    <x:xf numFmtId="0" fontId="63" fillId="37" borderId="50" xfId="0" applyNumberFormat="1" applyFont="1" applyFill="1" applyBorder="1"/>
    <x:xf numFmtId="0" fontId="32" fillId="37" borderId="49" xfId="0" applyNumberFormat="1" applyFont="1" applyFill="1" applyBorder="1"/>
    <x:xf numFmtId="0" fontId="32" fillId="37" borderId="50" xfId="0" applyNumberFormat="1" applyFont="1" applyFill="1" applyBorder="1"/>
    <x:xf numFmtId="0" fontId="32" fillId="37" borderId="46" xfId="0" applyNumberFormat="1" applyFont="1" applyFill="1" applyBorder="1"/>
    <x:xf numFmtId="0" fontId="32" fillId="37" borderId="48" xfId="0" applyNumberFormat="1" applyFont="1" applyFill="1" applyBorder="1"/>
    <x:xf numFmtId="0" fontId="63" fillId="38" borderId="52" xfId="0" applyNumberFormat="1" applyFont="1" applyFill="1" applyBorder="1"/>
    <x:xf numFmtId="0" fontId="63" fillId="38" borderId="54" xfId="0" applyNumberFormat="1" applyFont="1" applyFill="1" applyBorder="1"/>
    <x:xf numFmtId="0" fontId="64" fillId="38" borderId="52" xfId="0" applyNumberFormat="1" applyFont="1" applyFill="1" applyBorder="1"/>
    <x:xf numFmtId="0" fontId="64" fillId="38" borderId="54" xfId="0" applyNumberFormat="1" applyFont="1" applyFill="1" applyBorder="1"/>
    <x:xf numFmtId="0" fontId="64" fillId="38" borderId="57" xfId="0" applyNumberFormat="1" applyFont="1" applyFill="1" applyBorder="1"/>
    <x:xf numFmtId="0" fontId="64" fillId="38" borderId="58" xfId="0" applyNumberFormat="1" applyFont="1" applyFill="1" applyBorder="1"/>
    <x:xf numFmtId="0" fontId="64" fillId="38" borderId="59" xfId="0" applyNumberFormat="1" applyFont="1" applyFill="1" applyBorder="1"/>
    <x:xf numFmtId="204" fontId="64" fillId="38" borderId="57" xfId="0" applyNumberFormat="1" applyFont="1" applyFill="1" applyBorder="1"/>
    <x:xf numFmtId="204" fontId="64" fillId="38" borderId="58" xfId="0" applyNumberFormat="1" applyFont="1" applyFill="1" applyBorder="1"/>
    <x:xf numFmtId="204" fontId="64" fillId="38" borderId="59" xfId="0" applyNumberFormat="1" applyFont="1" applyFill="1" applyBorder="1"/>
    <x:xf numFmtId="204" fontId="64" fillId="38" borderId="57" xfId="0" applyNumberFormat="1" applyFont="1" applyFill="1" applyBorder="1" applyAlignment="1">
      <x:alignment horizontal="center"/>
    </x:xf>
    <x:xf numFmtId="204" fontId="64" fillId="38" borderId="58" xfId="0" applyNumberFormat="1" applyFont="1" applyFill="1" applyBorder="1" applyAlignment="1">
      <x:alignment horizontal="center"/>
    </x:xf>
    <x:xf numFmtId="204" fontId="64" fillId="38" borderId="59" xfId="0" applyNumberFormat="1" applyFont="1" applyFill="1" applyBorder="1" applyAlignment="1">
      <x:alignment horizontal="center"/>
    </x:xf>
    <x:xf numFmtId="0" fontId="0" fillId="39" borderId="0" xfId="0" applyNumberFormat="1" applyFont="1" applyFill="1" applyBorder="1"/>
    <x:xf numFmtId="0" fontId="65" fillId="39" borderId="0" xfId="0" applyNumberFormat="1" applyFont="1" applyFill="1" applyBorder="1"/>
    <x:xf numFmtId="0" fontId="65" fillId="39" borderId="60" xfId="0" applyNumberFormat="1" applyFont="1" applyFill="1" applyBorder="1"/>
    <x:xf numFmtId="0" fontId="65" fillId="39" borderId="61" xfId="0" applyNumberFormat="1" applyFont="1" applyFill="1" applyBorder="1"/>
    <x:xf numFmtId="0" fontId="65" fillId="39" borderId="62" xfId="0" applyNumberFormat="1" applyFont="1" applyFill="1" applyBorder="1"/>
    <x:xf numFmtId="0" fontId="65" fillId="39" borderId="63" xfId="0" applyNumberFormat="1" applyFont="1" applyFill="1" applyBorder="1"/>
    <x:xf numFmtId="0" fontId="65" fillId="39" xfId="0" applyNumberFormat="1" applyFont="1" applyFill="1" applyBorder="0"/>
    <x:xf numFmtId="0" fontId="65" fillId="39" borderId="64" xfId="0" applyNumberFormat="1" applyFont="1" applyFill="1" applyBorder="1"/>
    <x:xf numFmtId="0" fontId="65" fillId="39" borderId="65" xfId="0" applyNumberFormat="1" applyFont="1" applyFill="1" applyBorder="1"/>
    <x:xf numFmtId="0" fontId="65" fillId="39" borderId="66" xfId="0" applyNumberFormat="1" applyFont="1" applyFill="1" applyBorder="1"/>
    <x:xf numFmtId="0" fontId="65" fillId="39" borderId="67" xfId="0" applyNumberFormat="1" applyFont="1" applyFill="1" applyBorder="1"/>
    <x:xf numFmtId="0" fontId="65" fillId="39" borderId="60" xfId="0" applyNumberFormat="1" applyFont="1" applyFill="1" applyBorder="1" applyAlignment="1">
      <x:alignment wrapText="1"/>
    </x:xf>
    <x:xf numFmtId="0" fontId="65" fillId="39" borderId="61" xfId="0" applyNumberFormat="1" applyFont="1" applyFill="1" applyBorder="1" applyAlignment="1">
      <x:alignment wrapText="1"/>
    </x:xf>
    <x:xf numFmtId="0" fontId="65" fillId="39" borderId="62" xfId="0" applyNumberFormat="1" applyFont="1" applyFill="1" applyBorder="1" applyAlignment="1">
      <x:alignment wrapText="1"/>
    </x:xf>
    <x:xf numFmtId="0" fontId="65" fillId="39" borderId="63" xfId="0" applyNumberFormat="1" applyFont="1" applyFill="1" applyBorder="1" applyAlignment="1">
      <x:alignment wrapText="1"/>
    </x:xf>
    <x:xf numFmtId="0" fontId="65" fillId="39" xfId="0" applyNumberFormat="1" applyFont="1" applyFill="1" applyBorder="0" applyAlignment="1">
      <x:alignment wrapText="1"/>
    </x:xf>
    <x:xf numFmtId="0" fontId="65" fillId="39" borderId="64" xfId="0" applyNumberFormat="1" applyFont="1" applyFill="1" applyBorder="1" applyAlignment="1">
      <x:alignment wrapText="1"/>
    </x:xf>
    <x:xf numFmtId="0" fontId="65" fillId="39" borderId="65" xfId="0" applyNumberFormat="1" applyFont="1" applyFill="1" applyBorder="1" applyAlignment="1">
      <x:alignment wrapText="1"/>
    </x:xf>
    <x:xf numFmtId="0" fontId="65" fillId="39" borderId="66" xfId="0" applyNumberFormat="1" applyFont="1" applyFill="1" applyBorder="1" applyAlignment="1">
      <x:alignment wrapText="1"/>
    </x:xf>
    <x:xf numFmtId="0" fontId="65" fillId="39" borderId="67" xfId="0" applyNumberFormat="1" applyFont="1" applyFill="1" applyBorder="1" applyAlignment="1">
      <x:alignment wrapText="1"/>
    </x:xf>
    <x:xf numFmtId="0" fontId="65" fillId="39" borderId="60" xfId="0" applyNumberFormat="1" applyFont="1" applyFill="1" applyBorder="1" applyAlignment="1">
      <x:alignment vertical="center" wrapText="1"/>
    </x:xf>
    <x:xf numFmtId="0" fontId="65" fillId="39" borderId="61" xfId="0" applyNumberFormat="1" applyFont="1" applyFill="1" applyBorder="1" applyAlignment="1">
      <x:alignment vertical="center" wrapText="1"/>
    </x:xf>
    <x:xf numFmtId="0" fontId="65" fillId="39" borderId="62" xfId="0" applyNumberFormat="1" applyFont="1" applyFill="1" applyBorder="1" applyAlignment="1">
      <x:alignment vertical="center" wrapText="1"/>
    </x:xf>
    <x:xf numFmtId="0" fontId="65" fillId="39" borderId="63" xfId="0" applyNumberFormat="1" applyFont="1" applyFill="1" applyBorder="1" applyAlignment="1">
      <x:alignment vertical="center" wrapText="1"/>
    </x:xf>
    <x:xf numFmtId="0" fontId="65" fillId="39" xfId="0" applyNumberFormat="1" applyFont="1" applyFill="1" applyBorder="0" applyAlignment="1">
      <x:alignment vertical="center" wrapText="1"/>
    </x:xf>
    <x:xf numFmtId="0" fontId="65" fillId="39" borderId="64" xfId="0" applyNumberFormat="1" applyFont="1" applyFill="1" applyBorder="1" applyAlignment="1">
      <x:alignment vertical="center" wrapText="1"/>
    </x:xf>
    <x:xf numFmtId="0" fontId="65" fillId="39" borderId="65" xfId="0" applyNumberFormat="1" applyFont="1" applyFill="1" applyBorder="1" applyAlignment="1">
      <x:alignment vertical="center" wrapText="1"/>
    </x:xf>
    <x:xf numFmtId="0" fontId="65" fillId="39" borderId="66" xfId="0" applyNumberFormat="1" applyFont="1" applyFill="1" applyBorder="1" applyAlignment="1">
      <x:alignment vertical="center" wrapText="1"/>
    </x:xf>
    <x:xf numFmtId="0" fontId="65" fillId="39" borderId="67" xfId="0" applyNumberFormat="1" applyFont="1" applyFill="1" applyBorder="1" applyAlignment="1">
      <x:alignment vertical="center" wrapText="1"/>
    </x:xf>
    <x:xf numFmtId="0" fontId="66" fillId="29" borderId="0" xfId="0" applyNumberFormat="1" applyFont="1" applyFill="1" applyBorder="1" applyAlignment="1">
      <x:alignment vertical="center"/>
    </x:xf>
    <x:xf numFmtId="0" fontId="67" fillId="31" borderId="0" xfId="0" applyNumberFormat="1" applyFont="1" applyFill="1" applyBorder="1"/>
    <x:xf numFmtId="0" fontId="68" fillId="30" borderId="0" xfId="0" applyNumberFormat="1" applyFont="1" applyFill="1" applyBorder="1" applyAlignment="1">
      <x:alignment vertical="center" wrapText="1"/>
    </x:xf>
    <x:xf numFmtId="0" fontId="67" fillId="0" borderId="0" xfId="0" applyNumberFormat="1" applyFont="1" applyFill="1" applyBorder="1"/>
    <x:xf numFmtId="0" fontId="69" fillId="32" borderId="46" xfId="0" applyNumberFormat="1" applyFont="1" applyFill="1" applyBorder="1" applyAlignment="1">
      <x:alignment vertical="center"/>
    </x:xf>
    <x:xf numFmtId="0" fontId="69" fillId="32" borderId="47" xfId="0" applyNumberFormat="1" applyFont="1" applyFill="1" applyBorder="1" applyAlignment="1">
      <x:alignment vertical="center"/>
    </x:xf>
    <x:xf numFmtId="0" fontId="70" fillId="33" borderId="46" xfId="0" applyNumberFormat="1" applyFont="1" applyFill="1" applyBorder="1" applyAlignment="1">
      <x:alignment horizontal="center" vertical="center"/>
    </x:xf>
    <x:xf numFmtId="0" fontId="70" fillId="33" borderId="48" xfId="0" applyNumberFormat="1" applyFont="1" applyFill="1" applyBorder="1" applyAlignment="1">
      <x:alignment horizontal="center" vertical="center"/>
    </x:xf>
    <x:xf numFmtId="204" fontId="70" fillId="33" borderId="46" xfId="0" applyNumberFormat="1" applyFont="1" applyFill="1" applyBorder="1" applyAlignment="1">
      <x:alignment horizontal="center" vertical="center"/>
    </x:xf>
    <x:xf numFmtId="204" fontId="70" fillId="33" borderId="48" xfId="0" applyNumberFormat="1" applyFont="1" applyFill="1" applyBorder="1" applyAlignment="1">
      <x:alignment horizontal="center" vertical="center"/>
    </x:xf>
    <x:xf numFmtId="0" fontId="71" fillId="29" borderId="46" xfId="0" applyNumberFormat="1" applyFont="1" applyFill="1" applyBorder="1" applyAlignment="1">
      <x:alignment horizontal="center" vertical="center"/>
    </x:xf>
    <x:xf numFmtId="0" fontId="71" fillId="29" borderId="48" xfId="0" applyNumberFormat="1" applyFont="1" applyFill="1" applyBorder="1" applyAlignment="1">
      <x:alignment horizontal="center" vertical="center"/>
    </x:xf>
    <x:xf numFmtId="0" fontId="72" fillId="34" borderId="0" xfId="0" applyNumberFormat="1" applyFont="1" applyFill="1" applyBorder="1" applyAlignment="1">
      <x:alignment vertical="center"/>
    </x:xf>
    <x:xf numFmtId="0" fontId="69" fillId="35" borderId="49" xfId="0" applyNumberFormat="1" applyFont="1" applyFill="1" applyBorder="1"/>
    <x:xf numFmtId="0" fontId="69" fillId="35" borderId="50" xfId="0" applyNumberFormat="1" applyFont="1" applyFill="1" applyBorder="1"/>
    <x:xf numFmtId="204" fontId="73" fillId="31" borderId="49" xfId="0" applyNumberFormat="1" applyFont="1" applyFill="1" applyBorder="1" applyAlignment="1">
      <x:alignment horizontal="center"/>
    </x:xf>
    <x:xf numFmtId="204" fontId="73" fillId="31" borderId="50" xfId="0" applyNumberFormat="1" applyFont="1" applyFill="1" applyBorder="1" applyAlignment="1">
      <x:alignment horizontal="center"/>
    </x:xf>
    <x:xf numFmtId="0" fontId="69" fillId="30" borderId="46" xfId="0" applyNumberFormat="1" applyFont="1" applyFill="1" applyBorder="1" applyAlignment="1">
      <x:alignment horizontal="center"/>
    </x:xf>
    <x:xf numFmtId="0" fontId="69" fillId="30" borderId="48" xfId="0" applyNumberFormat="1" applyFont="1" applyFill="1" applyBorder="1" applyAlignment="1">
      <x:alignment horizontal="center"/>
    </x:xf>
    <x:xf numFmtId="0" fontId="69" fillId="35" borderId="55" xfId="0" applyNumberFormat="1" applyFont="1" applyFill="1" applyBorder="1"/>
    <x:xf numFmtId="0" fontId="69" fillId="31" borderId="49" xfId="0" applyNumberFormat="1" applyFont="1" applyFill="1" applyBorder="1" applyAlignment="1">
      <x:alignment horizontal="center"/>
    </x:xf>
    <x:xf numFmtId="0" fontId="69" fillId="31" borderId="55" xfId="0" applyNumberFormat="1" applyFont="1" applyFill="1" applyBorder="1" applyAlignment="1">
      <x:alignment horizontal="center"/>
    </x:xf>
    <x:xf numFmtId="0" fontId="69" fillId="31" borderId="50" xfId="0" applyNumberFormat="1" applyFont="1" applyFill="1" applyBorder="1" applyAlignment="1">
      <x:alignment horizontal="center"/>
    </x:xf>
    <x:xf numFmtId="0" fontId="69" fillId="35" borderId="51" xfId="0" applyNumberFormat="1" applyFont="1" applyFill="1" applyBorder="1"/>
    <x:xf numFmtId="0" fontId="69" fillId="35" borderId="52" xfId="0" applyNumberFormat="1" applyFont="1" applyFill="1" applyBorder="1"/>
    <x:xf numFmtId="204" fontId="73" fillId="31" borderId="51" xfId="0" applyNumberFormat="1" applyFont="1" applyFill="1" applyBorder="1" applyAlignment="1">
      <x:alignment horizontal="center"/>
    </x:xf>
    <x:xf numFmtId="204" fontId="73" fillId="31" borderId="52" xfId="0" applyNumberFormat="1" applyFont="1" applyFill="1" applyBorder="1" applyAlignment="1">
      <x:alignment horizontal="center"/>
    </x:xf>
    <x:xf numFmtId="0" fontId="74" fillId="36" borderId="49" xfId="0" applyNumberFormat="1" applyFont="1" applyFill="1" applyBorder="1" applyAlignment="1">
      <x:alignment horizontal="center" vertical="center" wrapText="1"/>
    </x:xf>
    <x:xf numFmtId="0" fontId="74" fillId="36" borderId="50" xfId="0" applyNumberFormat="1" applyFont="1" applyFill="1" applyBorder="1" applyAlignment="1">
      <x:alignment horizontal="center" vertical="center" wrapText="1"/>
    </x:xf>
    <x:xf numFmtId="0" fontId="69" fillId="35" xfId="0" applyNumberFormat="1" applyFont="1" applyFill="1" applyBorder="0"/>
    <x:xf numFmtId="0" fontId="69" fillId="31" borderId="51" xfId="0" applyNumberFormat="1" applyFont="1" applyFill="1" applyBorder="1" applyAlignment="1">
      <x:alignment horizontal="center"/>
    </x:xf>
    <x:xf numFmtId="0" fontId="69" fillId="31" xfId="0" applyNumberFormat="1" applyFont="1" applyFill="1" applyBorder="0" applyAlignment="1">
      <x:alignment horizontal="center"/>
    </x:xf>
    <x:xf numFmtId="0" fontId="69" fillId="31" borderId="52" xfId="0" applyNumberFormat="1" applyFont="1" applyFill="1" applyBorder="1" applyAlignment="1">
      <x:alignment horizontal="center"/>
    </x:xf>
    <x:xf numFmtId="0" fontId="74" fillId="36" borderId="51" xfId="0" applyNumberFormat="1" applyFont="1" applyFill="1" applyBorder="1" applyAlignment="1">
      <x:alignment horizontal="center" vertical="center" wrapText="1"/>
    </x:xf>
    <x:xf numFmtId="0" fontId="74" fillId="36" borderId="52" xfId="0" applyNumberFormat="1" applyFont="1" applyFill="1" applyBorder="1" applyAlignment="1">
      <x:alignment horizontal="center" vertical="center" wrapText="1"/>
    </x:xf>
    <x:xf numFmtId="212" fontId="69" fillId="31" borderId="51" xfId="0" applyNumberFormat="1" applyFont="1" applyFill="1" applyBorder="1" applyAlignment="1">
      <x:alignment horizontal="center"/>
    </x:xf>
    <x:xf numFmtId="212" fontId="69" fillId="31" xfId="0" applyNumberFormat="1" applyFont="1" applyFill="1" applyBorder="0" applyAlignment="1">
      <x:alignment horizontal="center"/>
    </x:xf>
    <x:xf numFmtId="212" fontId="69" fillId="31" borderId="52" xfId="0" applyNumberFormat="1" applyFont="1" applyFill="1" applyBorder="1" applyAlignment="1">
      <x:alignment horizontal="center"/>
    </x:xf>
    <x:xf numFmtId="0" fontId="69" fillId="35" borderId="53" xfId="0" applyNumberFormat="1" applyFont="1" applyFill="1" applyBorder="1"/>
    <x:xf numFmtId="0" fontId="69" fillId="35" borderId="54" xfId="0" applyNumberFormat="1" applyFont="1" applyFill="1" applyBorder="1"/>
    <x:xf numFmtId="204" fontId="73" fillId="31" borderId="53" xfId="0" applyNumberFormat="1" applyFont="1" applyFill="1" applyBorder="1" applyAlignment="1">
      <x:alignment horizontal="center"/>
    </x:xf>
    <x:xf numFmtId="204" fontId="73" fillId="31" borderId="54" xfId="0" applyNumberFormat="1" applyFont="1" applyFill="1" applyBorder="1" applyAlignment="1">
      <x:alignment horizontal="center"/>
    </x:xf>
    <x:xf numFmtId="0" fontId="74" fillId="36" borderId="53" xfId="0" applyNumberFormat="1" applyFont="1" applyFill="1" applyBorder="1" applyAlignment="1">
      <x:alignment horizontal="center" vertical="center" wrapText="1"/>
    </x:xf>
    <x:xf numFmtId="0" fontId="74" fillId="36" borderId="54" xfId="0" applyNumberFormat="1" applyFont="1" applyFill="1" applyBorder="1" applyAlignment="1">
      <x:alignment horizontal="center" vertical="center" wrapText="1"/>
    </x:xf>
    <x:xf numFmtId="0" fontId="69" fillId="35" borderId="56" xfId="0" applyNumberFormat="1" applyFont="1" applyFill="1" applyBorder="1"/>
    <x:xf numFmtId="0" fontId="69" fillId="31" borderId="53" xfId="0" applyNumberFormat="1" applyFont="1" applyFill="1" applyBorder="1" applyAlignment="1">
      <x:alignment horizontal="center"/>
    </x:xf>
    <x:xf numFmtId="0" fontId="69" fillId="31" borderId="56" xfId="0" applyNumberFormat="1" applyFont="1" applyFill="1" applyBorder="1" applyAlignment="1">
      <x:alignment horizontal="center"/>
    </x:xf>
    <x:xf numFmtId="0" fontId="69" fillId="31" borderId="54" xfId="0" applyNumberFormat="1" applyFont="1" applyFill="1" applyBorder="1" applyAlignment="1">
      <x:alignment horizontal="center"/>
    </x:xf>
    <x:xf numFmtId="0" fontId="71" fillId="37" borderId="46" xfId="0" applyNumberFormat="1" applyFont="1" applyFill="1" applyBorder="1" applyAlignment="1">
      <x:alignment horizontal="center"/>
    </x:xf>
    <x:xf numFmtId="0" fontId="71" fillId="37" borderId="47" xfId="0" applyNumberFormat="1" applyFont="1" applyFill="1" applyBorder="1" applyAlignment="1">
      <x:alignment horizontal="center"/>
    </x:xf>
    <x:xf numFmtId="0" fontId="71" fillId="37" borderId="48" xfId="0" applyNumberFormat="1" applyFont="1" applyFill="1" applyBorder="1" applyAlignment="1">
      <x:alignment horizontal="center"/>
    </x:xf>
    <x:xf numFmtId="0" fontId="75" fillId="0" borderId="49" xfId="0" applyNumberFormat="1" applyFont="1" applyFill="1" applyBorder="1" applyAlignment="1">
      <x:alignment vertical="center"/>
    </x:xf>
    <x:xf numFmtId="213" fontId="75" fillId="0" borderId="55" xfId="0" applyNumberFormat="1" applyFont="1" applyFill="1" applyBorder="1" applyAlignment="1">
      <x:alignment vertical="center"/>
    </x:xf>
    <x:xf numFmtId="0" fontId="75" fillId="0" borderId="55" xfId="0" applyNumberFormat="1" applyFont="1" applyFill="1" applyBorder="1" applyAlignment="1">
      <x:alignment vertical="center"/>
    </x:xf>
    <x:xf numFmtId="204" fontId="76" fillId="38" borderId="57" xfId="0" applyNumberFormat="1" applyFont="1" applyFill="1" applyBorder="1" applyAlignment="1">
      <x:alignment horizontal="center" vertical="center"/>
    </x:xf>
    <x:xf numFmtId="212" fontId="75" fillId="0" borderId="55" xfId="0" applyNumberFormat="1" applyFont="1" applyFill="1" applyBorder="1" applyAlignment="1">
      <x:alignment vertical="center"/>
    </x:xf>
    <x:xf numFmtId="0" fontId="75" fillId="0" borderId="50" xfId="0" applyNumberFormat="1" applyFont="1" applyFill="1" applyBorder="1" applyAlignment="1">
      <x:alignment vertical="center"/>
    </x:xf>
    <x:xf numFmtId="0" fontId="75" fillId="0" borderId="51" xfId="0" applyNumberFormat="1" applyFont="1" applyFill="1" applyBorder="1" applyAlignment="1">
      <x:alignment vertical="center"/>
    </x:xf>
    <x:xf numFmtId="205" fontId="75" fillId="0" xfId="0" applyNumberFormat="1" applyFont="1" applyFill="1" applyBorder="0" applyAlignment="1">
      <x:alignment vertical="center"/>
    </x:xf>
    <x:xf numFmtId="0" fontId="75" fillId="0" xfId="0" applyNumberFormat="1" applyFont="1" applyFill="1" applyBorder="0" applyAlignment="1">
      <x:alignment vertical="center"/>
    </x:xf>
    <x:xf numFmtId="204" fontId="76" fillId="38" borderId="58" xfId="0" applyNumberFormat="1" applyFont="1" applyFill="1" applyBorder="1" applyAlignment="1">
      <x:alignment horizontal="center" vertical="center"/>
    </x:xf>
    <x:xf numFmtId="212" fontId="75" fillId="0" xfId="0" applyNumberFormat="1" applyFont="1" applyFill="1" applyBorder="0" applyAlignment="1">
      <x:alignment vertical="center"/>
    </x:xf>
    <x:xf numFmtId="0" fontId="75" fillId="0" borderId="52" xfId="0" applyNumberFormat="1" applyFont="1" applyFill="1" applyBorder="1" applyAlignment="1">
      <x:alignment vertical="center"/>
    </x:xf>
    <x:xf numFmtId="213" fontId="75" fillId="0" xfId="0" applyNumberFormat="1" applyFont="1" applyFill="1" applyBorder="0" applyAlignment="1">
      <x:alignment vertical="center"/>
    </x:xf>
    <x:xf numFmtId="0" fontId="75" fillId="0" borderId="53" xfId="0" applyNumberFormat="1" applyFont="1" applyFill="1" applyBorder="1" applyAlignment="1">
      <x:alignment vertical="center"/>
    </x:xf>
    <x:xf numFmtId="205" fontId="75" fillId="0" borderId="56" xfId="0" applyNumberFormat="1" applyFont="1" applyFill="1" applyBorder="1" applyAlignment="1">
      <x:alignment vertical="center"/>
    </x:xf>
    <x:xf numFmtId="0" fontId="75" fillId="0" borderId="56" xfId="0" applyNumberFormat="1" applyFont="1" applyFill="1" applyBorder="1" applyAlignment="1">
      <x:alignment vertical="center"/>
    </x:xf>
    <x:xf numFmtId="204" fontId="76" fillId="38" borderId="59" xfId="0" applyNumberFormat="1" applyFont="1" applyFill="1" applyBorder="1" applyAlignment="1">
      <x:alignment horizontal="center" vertical="center"/>
    </x:xf>
    <x:xf numFmtId="212" fontId="75" fillId="0" borderId="56" xfId="0" applyNumberFormat="1" applyFont="1" applyFill="1" applyBorder="1" applyAlignment="1">
      <x:alignment vertical="center"/>
    </x:xf>
    <x:xf numFmtId="0" fontId="75" fillId="0" borderId="54" xfId="0" applyNumberFormat="1" applyFont="1" applyFill="1" applyBorder="1" applyAlignment="1">
      <x:alignment vertical="center"/>
    </x:xf>
    <x:xf numFmtId="0" fontId="75" fillId="0" borderId="49" xfId="0" applyNumberFormat="1" applyFont="1" applyFill="1" applyBorder="1"/>
    <x:xf numFmtId="204" fontId="75" fillId="0" borderId="55" xfId="0" applyNumberFormat="1" applyFont="1" applyFill="1" applyBorder="1"/>
    <x:xf numFmtId="205" fontId="75" fillId="0" borderId="55" xfId="0" applyNumberFormat="1" applyFont="1" applyFill="1" applyBorder="1"/>
    <x:xf numFmtId="0" fontId="75" fillId="0" borderId="55" xfId="0" applyNumberFormat="1" applyFont="1" applyFill="1" applyBorder="1"/>
    <x:xf numFmtId="0" fontId="75" fillId="0" borderId="50" xfId="0" applyNumberFormat="1" applyFont="1" applyFill="1" applyBorder="1"/>
    <x:xf numFmtId="0" fontId="75" fillId="0" borderId="51" xfId="0" applyNumberFormat="1" applyFont="1" applyFill="1" applyBorder="1"/>
    <x:xf numFmtId="204" fontId="75" fillId="0" xfId="0" applyNumberFormat="1" applyFont="1" applyFill="1" applyBorder="0"/>
    <x:xf numFmtId="205" fontId="75" fillId="0" xfId="0" applyNumberFormat="1" applyFont="1" applyFill="1" applyBorder="0"/>
    <x:xf numFmtId="0" fontId="75" fillId="0" xfId="0" applyNumberFormat="1" applyFont="1" applyFill="1" applyBorder="0"/>
    <x:xf numFmtId="0" fontId="75" fillId="0" borderId="52" xfId="0" applyNumberFormat="1" applyFont="1" applyFill="1" applyBorder="1"/>
    <x:xf numFmtId="0" fontId="75" fillId="0" borderId="53" xfId="0" applyNumberFormat="1" applyFont="1" applyFill="1" applyBorder="1"/>
    <x:xf numFmtId="204" fontId="75" fillId="0" borderId="56" xfId="0" applyNumberFormat="1" applyFont="1" applyFill="1" applyBorder="1"/>
    <x:xf numFmtId="205" fontId="75" fillId="0" borderId="56" xfId="0" applyNumberFormat="1" applyFont="1" applyFill="1" applyBorder="1"/>
    <x:xf numFmtId="0" fontId="75" fillId="0" borderId="56" xfId="0" applyNumberFormat="1" applyFont="1" applyFill="1" applyBorder="1"/>
    <x:xf numFmtId="0" fontId="75" fillId="0" borderId="54" xfId="0" applyNumberFormat="1" applyFont="1" applyFill="1" applyBorder="1"/>
    <x:xf numFmtId="0" fontId="72" fillId="37" borderId="46" xfId="0" applyNumberFormat="1" applyFont="1" applyFill="1" applyBorder="1"/>
    <x:xf numFmtId="0" fontId="72" fillId="37" borderId="48" xfId="0" applyNumberFormat="1" applyFont="1" applyFill="1" applyBorder="1"/>
    <x:xf numFmtId="0" fontId="77" fillId="0" borderId="51" xfId="0" applyNumberFormat="1" applyFont="1" applyFill="1" applyBorder="1"/>
    <x:xf numFmtId="204" fontId="78" fillId="38" borderId="57" xfId="0" applyNumberFormat="1" applyFont="1" applyFill="1" applyBorder="1" applyAlignment="1">
      <x:alignment horizontal="center"/>
    </x:xf>
    <x:xf numFmtId="204" fontId="78" fillId="38" borderId="58" xfId="0" applyNumberFormat="1" applyFont="1" applyFill="1" applyBorder="1" applyAlignment="1">
      <x:alignment horizontal="center"/>
    </x:xf>
    <x:xf numFmtId="0" fontId="77" fillId="0" borderId="53" xfId="0" applyNumberFormat="1" applyFont="1" applyFill="1" applyBorder="1"/>
    <x:xf numFmtId="204" fontId="78" fillId="38" borderId="59" xfId="0" applyNumberFormat="1" applyFont="1" applyFill="1" applyBorder="1" applyAlignment="1">
      <x:alignment horizontal="center"/>
    </x:xf>
    <x:xf numFmtId="0" fontId="79" fillId="39" borderId="60" xfId="0" applyNumberFormat="1" applyFont="1" applyFill="1" applyBorder="1" applyAlignment="1">
      <x:alignment vertical="center" wrapText="1"/>
    </x:xf>
    <x:xf numFmtId="0" fontId="79" fillId="39" borderId="61" xfId="0" applyNumberFormat="1" applyFont="1" applyFill="1" applyBorder="1" applyAlignment="1">
      <x:alignment vertical="center" wrapText="1"/>
    </x:xf>
    <x:xf numFmtId="0" fontId="79" fillId="39" borderId="62" xfId="0" applyNumberFormat="1" applyFont="1" applyFill="1" applyBorder="1" applyAlignment="1">
      <x:alignment vertical="center" wrapText="1"/>
    </x:xf>
    <x:xf numFmtId="0" fontId="79" fillId="39" borderId="63" xfId="0" applyNumberFormat="1" applyFont="1" applyFill="1" applyBorder="1" applyAlignment="1">
      <x:alignment vertical="center" wrapText="1"/>
    </x:xf>
    <x:xf numFmtId="0" fontId="79" fillId="39" xfId="0" applyNumberFormat="1" applyFont="1" applyFill="1" applyBorder="0" applyAlignment="1">
      <x:alignment vertical="center" wrapText="1"/>
    </x:xf>
    <x:xf numFmtId="0" fontId="79" fillId="39" borderId="64" xfId="0" applyNumberFormat="1" applyFont="1" applyFill="1" applyBorder="1" applyAlignment="1">
      <x:alignment vertical="center" wrapText="1"/>
    </x:xf>
    <x:xf numFmtId="0" fontId="79" fillId="39" borderId="65" xfId="0" applyNumberFormat="1" applyFont="1" applyFill="1" applyBorder="1" applyAlignment="1">
      <x:alignment vertical="center" wrapText="1"/>
    </x:xf>
    <x:xf numFmtId="0" fontId="79" fillId="39" borderId="66" xfId="0" applyNumberFormat="1" applyFont="1" applyFill="1" applyBorder="1" applyAlignment="1">
      <x:alignment vertical="center" wrapText="1"/>
    </x:xf>
    <x:xf numFmtId="0" fontId="79" fillId="39" borderId="67" xfId="0" applyNumberFormat="1" applyFont="1" applyFill="1" applyBorder="1" applyAlignment="1">
      <x:alignment vertical="center" wrapText="1"/>
    </x:xf>
  </x:cellXfs>
  <x:cellStyles count="1">
    <x:cellStyle name="Normal" xfId="0"/>
  </x:cellStyles>
  <x:dxfs count="25">
    <x:dxf>
      <x:font>
        <x:b/>
        <x:color rgb="FF991B1B"/>
      </x:font>
      <x:fill>
        <x:patternFill>
          <x:bgColor rgb="FFFEE2E2"/>
        </x:patternFill>
      </x:fill>
    </x:dxf>
    <x:dxf>
      <x:font>
        <x:b/>
        <x:color rgb="FF92400E"/>
      </x:font>
      <x:fill>
        <x:patternFill>
          <x:bgColor rgb="FFFEF3C7"/>
        </x:patternFill>
      </x:fill>
    </x:dxf>
    <x:dxf>
      <x:font>
        <x:color rgb="FF166534"/>
      </x:font>
      <x:fill>
        <x:patternFill>
          <x:bgColor rgb="FFDCFCE7"/>
        </x:patternFill>
      </x:fill>
    </x:dxf>
    <x:dxf>
      <x:font>
        <x:b/>
        <x:color rgb="FF991B1B"/>
      </x:font>
      <x:fill>
        <x:patternFill>
          <x:bgColor rgb="FFFEE2E2"/>
        </x:patternFill>
      </x:fill>
    </x:dxf>
    <x:dxf>
      <x:font>
        <x:color rgb="FF166534"/>
      </x:font>
      <x:fill>
        <x:patternFill>
          <x:bgColor rgb="FFDCFCE7"/>
        </x:patternFill>
      </x:fill>
    </x:dxf>
    <x:dxf>
      <x:font>
        <x:b/>
        <x:color rgb="FF991B1B"/>
      </x:font>
      <x:fill>
        <x:patternFill>
          <x:bgColor rgb="FFFEE2E2"/>
        </x:patternFill>
      </x:fill>
    </x:dxf>
    <x:dxf>
      <x:font>
        <x:color rgb="FF166534"/>
      </x:font>
      <x:fill>
        <x:patternFill>
          <x:bgColor rgb="FFDCFCE7"/>
        </x:patternFill>
      </x:fill>
    </x:dxf>
    <x:dxf>
      <x:font>
        <x:b/>
        <x:color rgb="FFFFFFFF"/>
      </x:font>
      <x:fill>
        <x:patternFill>
          <x:bgColor rgb="FF7F1D1D"/>
        </x:patternFill>
      </x:fill>
    </x:dxf>
    <x:dxf>
      <x:font>
        <x:b/>
        <x:color rgb="FF991B1B"/>
      </x:font>
      <x:fill>
        <x:patternFill>
          <x:bgColor rgb="FFFEE2E2"/>
        </x:patternFill>
      </x:fill>
    </x:dxf>
    <x:dxf>
      <x:font>
        <x:b/>
        <x:color rgb="FF92400E"/>
      </x:font>
      <x:fill>
        <x:patternFill>
          <x:bgColor rgb="FFFEF3C7"/>
        </x:patternFill>
      </x:fill>
    </x:dxf>
    <x:dxf>
      <x:font>
        <x:b/>
        <x:color rgb="FF166534"/>
      </x:font>
      <x:fill>
        <x:patternFill>
          <x:bgColor rgb="FFBBF7D0"/>
        </x:patternFill>
      </x:fill>
    </x:dxf>
    <x:dxf>
      <x:font>
        <x:b/>
        <x:color rgb="FF854D0E"/>
      </x:font>
      <x:fill>
        <x:patternFill>
          <x:bgColor rgb="FFFEF08A"/>
        </x:patternFill>
      </x:fill>
    </x:dxf>
    <x:dxf>
      <x:font>
        <x:b/>
        <x:color rgb="FF9A3412"/>
      </x:font>
      <x:fill>
        <x:patternFill>
          <x:bgColor rgb="FFFED7AA"/>
        </x:patternFill>
      </x:fill>
    </x:dxf>
    <x:dxf>
      <x:font>
        <x:b/>
        <x:color rgb="FF7F1D1D"/>
      </x:font>
      <x:fill>
        <x:patternFill>
          <x:bgColor rgb="FFFCA5A5"/>
        </x:patternFill>
      </x:fill>
    </x:dxf>
    <x:dxf>
      <x:font>
        <x:b/>
        <x:color rgb="FF991B1B"/>
      </x:font>
      <x:fill>
        <x:patternFill>
          <x:bgColor rgb="FFFEE2E2"/>
        </x:patternFill>
      </x:fill>
    </x:dxf>
    <x:dxf>
      <x:font>
        <x:b/>
        <x:color rgb="FF92400E"/>
      </x:font>
      <x:fill>
        <x:patternFill>
          <x:bgColor rgb="FFFEF3C7"/>
        </x:patternFill>
      </x:fill>
    </x:dxf>
    <x:dxf>
      <x:font>
        <x:b/>
        <x:color rgb="FF166534"/>
      </x:font>
      <x:fill>
        <x:patternFill>
          <x:bgColor rgb="FFDCFCE7"/>
        </x:patternFill>
      </x:fill>
    </x:dxf>
    <x:dxf>
      <x:font>
        <x:b/>
        <x:color rgb="FF991B1B"/>
      </x:font>
      <x:fill>
        <x:patternFill>
          <x:bgColor rgb="FFFEE2E2"/>
        </x:patternFill>
      </x:fill>
    </x:dxf>
    <x:dxf>
      <x:font>
        <x:b/>
        <x:color rgb="FF92400E"/>
      </x:font>
      <x:fill>
        <x:patternFill>
          <x:bgColor rgb="FFFEF3C7"/>
        </x:patternFill>
      </x:fill>
    </x:dxf>
    <x:dxf>
      <x:font>
        <x:b/>
        <x:color rgb="FF166534"/>
      </x:font>
      <x:fill>
        <x:patternFill>
          <x:bgColor rgb="FFDCFCE7"/>
        </x:patternFill>
      </x:fill>
    </x:dxf>
    <x:dxf>
      <x:font>
        <x:b/>
        <x:color rgb="FF991B1B"/>
      </x:font>
      <x:fill>
        <x:patternFill>
          <x:bgColor rgb="FFFEE2E2"/>
        </x:patternFill>
      </x:fill>
    </x:dxf>
    <x:dxf>
      <x:font>
        <x:b/>
        <x:color rgb="FF92400E"/>
      </x:font>
      <x:fill>
        <x:patternFill>
          <x:bgColor rgb="FFFEF3C7"/>
        </x:patternFill>
      </x:fill>
    </x:dxf>
    <x:dxf>
      <x:font>
        <x:b/>
        <x:color rgb="FF166534"/>
      </x:font>
      <x:fill>
        <x:patternFill>
          <x:bgColor rgb="FFDCFCE7"/>
        </x:patternFill>
      </x:fill>
    </x:dxf>
    <x:dxf>
      <x:font>
        <x:b/>
        <x:color rgb="FF166534"/>
      </x:font>
      <x:fill>
        <x:patternFill>
          <x:bgColor rgb="FFDCFCE7"/>
        </x:patternFill>
      </x:fill>
    </x:dxf>
    <x:dxf>
      <x:font>
        <x:b/>
        <x:color rgb="FF991B1B"/>
      </x:font>
      <x:fill>
        <x:patternFill>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063a551ee3f4c6f" /><Relationship Type="http://schemas.openxmlformats.org/officeDocument/2006/relationships/theme" Target="/xl/theme/theme1.xml" Id="R1e5358dd0d0c4a3a" /><Relationship Type="http://schemas.openxmlformats.org/officeDocument/2006/relationships/sharedStrings" Target="/xl/sharedStrings.xml" Id="R473c6b4798bb4aa0" /><Relationship Type="http://schemas.openxmlformats.org/officeDocument/2006/relationships/worksheet" Target="/xl/worksheets/sheet1.xml" Id="Rbe3d3c314cf744f5" /><Relationship Type="http://schemas.openxmlformats.org/officeDocument/2006/relationships/worksheet" Target="/xl/worksheets/sheet2.xml" Id="R5fc06a7a1d3f4699" /><Relationship Type="http://schemas.openxmlformats.org/officeDocument/2006/relationships/worksheet" Target="/xl/worksheets/sheet3.xml" Id="R293c868310084bdb" /><Relationship Type="http://schemas.openxmlformats.org/officeDocument/2006/relationships/worksheet" Target="/xl/worksheets/sheet4.xml" Id="Ra66ba3334bc444e4" /><Relationship Type="http://schemas.openxmlformats.org/officeDocument/2006/relationships/worksheet" Target="/xl/worksheets/sheet5.xml" Id="Rd42732e08a414a4a" /><Relationship Type="http://schemas.openxmlformats.org/officeDocument/2006/relationships/worksheet" Target="/xl/worksheets/sheet6.xml" Id="Rfd2483cf3d6a4502" /><Relationship Type="http://schemas.openxmlformats.org/officeDocument/2006/relationships/worksheet" Target="/xl/worksheets/sheet7.xml" Id="Rd66a350dd8a141ed" /><Relationship Type="http://schemas.openxmlformats.org/officeDocument/2006/relationships/worksheet" Target="/xl/worksheets/sheet8.xml" Id="R152f8948338a41f5" /><Relationship Type="http://schemas.openxmlformats.org/officeDocument/2006/relationships/worksheet" Target="/xl/worksheets/sheet9.xml" Id="Rb79d8bbfd57a44db" /><Relationship Type="http://schemas.openxmlformats.org/officeDocument/2006/relationships/worksheet" Target="/xl/worksheets/sheet10.xml" Id="Rf83950c8284e408c" /><Relationship Type="http://schemas.openxmlformats.org/officeDocument/2006/relationships/worksheet" Target="/xl/worksheets/sheet11.xml" Id="R5a54b58095004189" /><Relationship Type="http://schemas.openxmlformats.org/officeDocument/2006/relationships/worksheet" Target="/xl/worksheets/sheet12.xml" Id="R014bf38ba9a04f05" /><Relationship Type="http://schemas.openxmlformats.org/officeDocument/2006/relationships/worksheet" Target="/xl/worksheets/sheet13.xml" Id="Rc950187b57964883" /><Relationship Type="http://schemas.microsoft.com/office/2017/10/relationships/person" Target="/xl/persons/person.xml" Id="R5fcaa12af5a94951" /></Relationships>
</file>

<file path=xl/drawings/_rels/drawing1.xml.rels>&#65279;<?xml version="1.0" encoding="utf-8"?><Relationships xmlns="http://schemas.openxmlformats.org/package/2006/relationships"><Relationship Type="http://schemas.openxmlformats.org/officeDocument/2006/relationships/image" Target="/xl/media/image.png" Id="R1991e40803f04779" /></Relationships>
</file>

<file path=xl/drawings/_rels/drawing2.xml.rels>&#65279;<?xml version="1.0" encoding="utf-8"?><Relationships xmlns="http://schemas.openxmlformats.org/package/2006/relationships"><Relationship Type="http://schemas.openxmlformats.org/officeDocument/2006/relationships/image" Target="/xl/media/image2.png" Id="R59d3f5d727134e39" /></Relationships>
</file>

<file path=xl/drawings/_rels/drawing3.xml.rels>&#65279;<?xml version="1.0" encoding="utf-8"?><Relationships xmlns="http://schemas.openxmlformats.org/package/2006/relationships"><Relationship Type="http://schemas.openxmlformats.org/officeDocument/2006/relationships/image" Target="/xl/media/image3.png" Id="Rfd6688e0bf4e4e56" /></Relationships>
</file>

<file path=xl/drawings/_rels/drawing4.xml.rels>&#65279;<?xml version="1.0" encoding="utf-8"?><Relationships xmlns="http://schemas.openxmlformats.org/package/2006/relationships"><Relationship Type="http://schemas.openxmlformats.org/officeDocument/2006/relationships/image" Target="/xl/media/image4.png" Id="Re759df47f7814746" /></Relationships>
</file>

<file path=xl/drawings/_rels/drawing5.xml.rels>&#65279;<?xml version="1.0" encoding="utf-8"?><Relationships xmlns="http://schemas.openxmlformats.org/package/2006/relationships"><Relationship Type="http://schemas.openxmlformats.org/officeDocument/2006/relationships/image" Target="/xl/media/image5.png" Id="R37a87d509d0643df" /></Relationships>
</file>

<file path=xl/drawings/_rels/drawing6.xml.rels>&#65279;<?xml version="1.0" encoding="utf-8"?><Relationships xmlns="http://schemas.openxmlformats.org/package/2006/relationships"><Relationship Type="http://schemas.openxmlformats.org/officeDocument/2006/relationships/image" Target="/xl/media/image6.png" Id="R6954d0b644d94f91" /></Relationships>
</file>

<file path=xl/drawings/_rels/drawing7.xml.rels>&#65279;<?xml version="1.0" encoding="utf-8"?><Relationships xmlns="http://schemas.openxmlformats.org/package/2006/relationships"><Relationship Type="http://schemas.openxmlformats.org/officeDocument/2006/relationships/image" Target="/xl/media/image7.png" Id="Ref0789ed684947fe" /><Relationship Type="http://schemas.openxmlformats.org/officeDocument/2006/relationships/chart" Target="/xl/drawings/charts/chart1.xml" Id="R00b5957b6c55460b" /></Relationships>
</file>

<file path=xl/drawings/_rels/drawing8.xml.rels>&#65279;<?xml version="1.0" encoding="utf-8"?><Relationships xmlns="http://schemas.openxmlformats.org/package/2006/relationships"><Relationship Type="http://schemas.openxmlformats.org/officeDocument/2006/relationships/image" Target="/xl/media/image8.png" Id="R6db45272b2904c46" /><Relationship Type="http://schemas.openxmlformats.org/officeDocument/2006/relationships/chart" Target="/xl/drawings/charts/chart2.xml" Id="R48cd10221c004707" /><Relationship Type="http://schemas.openxmlformats.org/officeDocument/2006/relationships/chart" Target="/xl/drawings/charts/chart3.xml" Id="Rc0f2f43cd2ea468d" /><Relationship Type="http://schemas.openxmlformats.org/officeDocument/2006/relationships/chart" Target="/xl/drawings/charts/chart4.xml" Id="Rde428adb8ddd4258" /></Relationships>
</file>

<file path=xl/drawings/_rels/drawing9.xml.rels>&#65279;<?xml version="1.0" encoding="utf-8"?><Relationships xmlns="http://schemas.openxmlformats.org/package/2006/relationships"><Relationship Type="http://schemas.openxmlformats.org/officeDocument/2006/relationships/image" Target="/xl/media/image9.png" Id="R2f5d32b7f3d44a53" /></Relationships>
</file>

<file path=xl/drawings/_rels/drawing10.xml.rels>&#65279;<?xml version="1.0" encoding="utf-8"?><Relationships xmlns="http://schemas.openxmlformats.org/package/2006/relationships"><Relationship Type="http://schemas.openxmlformats.org/officeDocument/2006/relationships/image" Target="/xl/media/image10.png" Id="Rad4a21cc235244b2" /></Relationships>
</file>

<file path=xl/drawings/_rels/drawing11.xml.rels>&#65279;<?xml version="1.0" encoding="utf-8"?><Relationships xmlns="http://schemas.openxmlformats.org/package/2006/relationships"><Relationship Type="http://schemas.openxmlformats.org/officeDocument/2006/relationships/image" Target="/xl/media/image11.png" Id="R364de6aee09e4460" /><Relationship Type="http://schemas.openxmlformats.org/officeDocument/2006/relationships/chart" Target="/xl/drawings/charts/chart5.xml" Id="Rcc885fe3cc0645d4" /></Relationships>
</file>

<file path=xl/drawings/_rels/drawing12.xml.rels>&#65279;<?xml version="1.0" encoding="utf-8"?><Relationships xmlns="http://schemas.openxmlformats.org/package/2006/relationships"><Relationship Type="http://schemas.openxmlformats.org/officeDocument/2006/relationships/image" Target="/xl/media/image12.png" Id="Rc4359c1f81584635" /><Relationship Type="http://schemas.openxmlformats.org/officeDocument/2006/relationships/chart" Target="/xl/drawings/charts/chart6.xml" Id="R19f3ba520c4347c7" /></Relationships>
</file>

<file path=xl/drawings/_rels/drawing13.xml.rels>&#65279;<?xml version="1.0" encoding="utf-8"?><Relationships xmlns="http://schemas.openxmlformats.org/package/2006/relationships"><Relationship Type="http://schemas.openxmlformats.org/officeDocument/2006/relationships/image" Target="/xl/media/image13.png" Id="Rd942f6fda84f4054" /><Relationship Type="http://schemas.openxmlformats.org/officeDocument/2006/relationships/chart" Target="/xl/drawings/charts/chart7.xml" Id="Rd97b3f5efa164fd4" /><Relationship Type="http://schemas.openxmlformats.org/officeDocument/2006/relationships/chart" Target="/xl/drawings/charts/chart8.xml" Id="R20003cd99f6144b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Liquidity buffer surplus trend</a:t>
            </a:r>
          </a:p>
        </c:rich>
      </c:tx>
      <c:overlay val="0"/>
    </c:title>
    <c:plotArea>
      <c:lineChart>
        <c:grouping val="standard"/>
        <c:varyColors val="0"/>
        <c:ser>
          <c:idx val="0"/>
          <c:order val="0"/>
          <c:tx>
            <c:v>Buffer surplus (£)</c:v>
          </c:tx>
          <c:marker>
            <c:symbol val="none"/>
          </c:marker>
          <c:cat>
            <c:strRef>
              <c:f>'Liquidity Monitoring'!$T$6:$T$11</c:f>
              <c:strCache>
                <c:ptCount val="0"/>
              </c:strCache>
            </c:strRef>
          </c:cat>
          <c:val>
            <c:numRef>
              <c:f>'Liquidity Monitoring'!$U$6:$U$11</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dd-mmm"/>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quot;m&quot;"/>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Residual risk profile</a:t>
            </a:r>
          </a:p>
        </c:rich>
      </c:tx>
      <c:overlay val="0"/>
    </c:title>
    <c:plotArea>
      <c:barChart>
        <c:barDir val="col"/>
        <c:varyColors val="0"/>
        <c:ser>
          <c:idx val="0"/>
          <c:order val="0"/>
          <c:tx>
            <c:v>Risks</c:v>
          </c:tx>
          <c:spPr>
            <a:solidFill xmlns:a="http://schemas.openxmlformats.org/drawingml/2006/main">
              <a:srgbClr val="087E8B"/>
            </a:solidFill>
          </c:spPr>
          <c:cat>
            <c:strRef>
              <c:f>'Dashboard Data'!$A$5:$A$8</c:f>
              <c:strCache>
                <c:ptCount val="0"/>
              </c:strCache>
            </c:strRef>
          </c:cat>
          <c:val>
            <c:numRef>
              <c:f>'Dashboard Data'!$B$5:$B$8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Open risks by category</a:t>
            </a:r>
          </a:p>
        </c:rich>
      </c:tx>
      <c:overlay val="0"/>
    </c:title>
    <c:plotArea>
      <c:barChart>
        <c:barDir val="col"/>
        <c:varyColors val="0"/>
        <c:ser>
          <c:idx val="0"/>
          <c:order val="0"/>
          <c:tx>
            <c:v>Open risks</c:v>
          </c:tx>
          <c:spPr>
            <a:solidFill xmlns:a="http://schemas.openxmlformats.org/drawingml/2006/main">
              <a:srgbClr val="3B82A0"/>
            </a:solidFill>
          </c:spPr>
          <c:cat>
            <c:strRef>
              <c:f>'Dashboard Data'!$D$5:$D$11</c:f>
              <c:strCache>
                <c:ptCount val="0"/>
              </c:strCache>
            </c:strRef>
          </c:cat>
          <c:val>
            <c:numRef>
              <c:f>'Dashboard Data'!$E$5:$E$11</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Six-month risk trend</a:t>
            </a:r>
          </a:p>
        </c:rich>
      </c:tx>
      <c:overlay val="0"/>
    </c:title>
    <c:plotArea>
      <c:lineChart>
        <c:grouping val="standard"/>
        <c:varyColors val="0"/>
        <c:ser>
          <c:idx val="0"/>
          <c:order val="0"/>
          <c:tx>
            <c:v>Open risks</c:v>
          </c:tx>
          <c:spPr>
            <a:solidFill xmlns:a="http://schemas.openxmlformats.org/drawingml/2006/main">
              <a:srgbClr val="087E8B"/>
            </a:solidFill>
            <a:ln xmlns:a="http://schemas.openxmlformats.org/drawingml/2006/main" w="19050">
              <a:solidFill>
                <a:srgbClr val="087E8B"/>
              </a:solidFill>
            </a:ln>
          </c:spPr>
          <c:marker>
            <c:symbol val="none"/>
          </c:marker>
          <c:cat>
            <c:strRef>
              <c:f>'Dashboard Data'!$G$5:$G$10</c:f>
              <c:strCache>
                <c:ptCount val="0"/>
              </c:strCache>
            </c:strRef>
          </c:cat>
          <c:val>
            <c:numRef>
              <c:f>'Dashboard Data'!$H$5:$H$10</c:f>
              <c:numCache>
                <c:formatCode>0</c:formatCode>
                <c:ptCount val="0"/>
              </c:numCache>
            </c:numRef>
          </c:val>
          <c:smooth val="0"/>
        </c:ser>
        <c:ser>
          <c:idx val="1"/>
          <c:order val="1"/>
          <c:tx>
            <c:v>High / severe</c:v>
          </c:tx>
          <c:spPr>
            <a:solidFill xmlns:a="http://schemas.openxmlformats.org/drawingml/2006/main">
              <a:srgbClr val="F59E0B"/>
            </a:solidFill>
            <a:ln xmlns:a="http://schemas.openxmlformats.org/drawingml/2006/main" w="19050">
              <a:solidFill>
                <a:srgbClr val="F59E0B"/>
              </a:solidFill>
            </a:ln>
          </c:spPr>
          <c:marker>
            <c:symbol val="none"/>
          </c:marker>
          <c:cat>
            <c:strRef>
              <c:f>'Dashboard Data'!$G$5:$G$10</c:f>
              <c:strCache>
                <c:ptCount val="0"/>
              </c:strCache>
            </c:strRef>
          </c:cat>
          <c:val>
            <c:numRef>
              <c:f>'Dashboard Data'!$I$5:$I$10</c:f>
              <c:numCache>
                <c:formatCode>0</c:formatCode>
                <c:ptCount val="0"/>
              </c:numCache>
            </c:numRef>
          </c:val>
          <c:smooth val="0"/>
        </c:ser>
        <c:ser>
          <c:idx val="2"/>
          <c:order val="2"/>
          <c:tx>
            <c:v>Appetite breaches</c:v>
          </c:tx>
          <c:spPr>
            <a:solidFill xmlns:a="http://schemas.openxmlformats.org/drawingml/2006/main">
              <a:srgbClr val="DC2626"/>
            </a:solidFill>
            <a:ln xmlns:a="http://schemas.openxmlformats.org/drawingml/2006/main" w="19050">
              <a:solidFill>
                <a:srgbClr val="DC2626"/>
              </a:solidFill>
            </a:ln>
          </c:spPr>
          <c:marker>
            <c:symbol val="none"/>
          </c:marker>
          <c:cat>
            <c:strRef>
              <c:f>'Dashboard Data'!$G$5:$G$10</c:f>
              <c:strCache>
                <c:ptCount val="0"/>
              </c:strCache>
            </c:strRef>
          </c:cat>
          <c:val>
            <c:numRef>
              <c:f>'Dashboard Data'!$J$5:$J$10</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catAx>
      <c:valAx>
        <c:axId val="48672768"/>
        <c:scaling>
          <c:orientation val="minMax"/>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Ratio score profile (1 strong – 5 weak)</a:t>
            </a:r>
          </a:p>
        </c:rich>
      </c:tx>
      <c:overlay val="0"/>
    </c:title>
    <c:plotArea>
      <c:barChart>
        <c:barDir val="col"/>
        <c:varyColors val="0"/>
        <c:ser>
          <c:idx val="0"/>
          <c:order val="0"/>
          <c:tx>
            <c:v>Score</c:v>
          </c:tx>
          <c:spPr>
            <a:solidFill xmlns:a="http://schemas.openxmlformats.org/drawingml/2006/main">
              <a:srgbClr val="087E8B"/>
            </a:solidFill>
          </c:spPr>
          <c:cat>
            <c:strRef>
              <c:f>'Counterparty Assessment'!$A$25:$A$30</c:f>
              <c:strCache>
                <c:ptCount val="0"/>
              </c:strCache>
            </c:strRef>
          </c:cat>
          <c:val>
            <c:numRef>
              <c:f>'Counterparty Assessment'!$D$25:$D$30</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5"/>
          <c:min val="1"/>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Final internal credit score</a:t>
            </a:r>
          </a:p>
        </c:rich>
      </c:tx>
      <c:overlay val="0"/>
    </c:title>
    <c:plotArea>
      <c:barChart>
        <c:barDir val="col"/>
        <c:varyColors val="0"/>
        <c:ser>
          <c:idx val="0"/>
          <c:order val="0"/>
          <c:tx>
            <c:v>Series 1</c:v>
          </c:tx>
          <c:cat>
            <c:strRef>
              <c:f>'Credit Comparison'!$A$31</c:f>
              <c:strCache>
                <c:ptCount val="0"/>
              </c:strCache>
            </c:strRef>
          </c:cat>
          <c:val>
            <c:numRef>
              <c:f>'Credit Comparison'!$B$31</c:f>
              <c:numCache>
                <c:formatCode>0.0</c:formatCode>
                <c:ptCount val="0"/>
              </c:numCache>
            </c:numRef>
          </c:val>
        </c:ser>
        <c:ser>
          <c:idx val="1"/>
          <c:order val="1"/>
          <c:tx>
            <c:v>Series 2</c:v>
          </c:tx>
          <c:cat>
            <c:strRef>
              <c:f>'Credit Comparison'!$A$31</c:f>
              <c:strCache>
                <c:ptCount val="0"/>
              </c:strCache>
            </c:strRef>
          </c:cat>
          <c:val>
            <c:numRef>
              <c:f>'Credit Comparison'!$C$31</c:f>
              <c:numCache>
                <c:formatCode>0.0</c:formatCode>
                <c:ptCount val="0"/>
              </c:numCache>
            </c:numRef>
          </c:val>
        </c:ser>
        <c:ser>
          <c:idx val="2"/>
          <c:order val="2"/>
          <c:tx>
            <c:v>Series 3</c:v>
          </c:tx>
          <c:cat>
            <c:strRef>
              <c:f>'Credit Comparison'!$A$31</c:f>
              <c:strCache>
                <c:ptCount val="0"/>
              </c:strCache>
            </c:strRef>
          </c:cat>
          <c:val>
            <c:numRef>
              <c:f>'Credit Comparison'!$D$31</c:f>
              <c:numCache>
                <c:formatCode>0.0</c:formatCode>
                <c:ptCount val="0"/>
              </c:numCache>
            </c:numRef>
          </c:val>
        </c:ser>
        <c:ser>
          <c:idx val="3"/>
          <c:order val="3"/>
          <c:tx>
            <c:v>Series 4</c:v>
          </c:tx>
          <c:cat>
            <c:strRef>
              <c:f>'Credit Comparison'!$A$31</c:f>
              <c:strCache>
                <c:ptCount val="0"/>
              </c:strCache>
            </c:strRef>
          </c:cat>
          <c:val>
            <c:numRef>
              <c:f>'Credit Comparison'!$E$31</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5"/>
          <c:min val="1"/>
        </c:scaling>
        <c:delete val="0"/>
        <c:axPos val="l"/>
        <c:majorGridlines>
          <c:spPr>
            <a:ln xmlns:a="http://schemas.openxmlformats.org/drawingml/2006/main" w="9525">
              <a:solidFill>
                <a:srgbClr val="CCCCCC"/>
              </a:solidFill>
              <a:prstDash val="dash"/>
            </a:ln>
          </c:spPr>
        </c:majorGridlines>
        <c:numFmt formatCode="0.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Ratio score profile (1 weak – 10 strong)</a:t>
            </a:r>
          </a:p>
        </c:rich>
      </c:tx>
      <c:overlay val="0"/>
    </c:title>
    <c:plotArea>
      <c:barChart>
        <c:barDir val="col"/>
        <c:varyColors val="0"/>
        <c:ser>
          <c:idx val="0"/>
          <c:order val="0"/>
          <c:tx>
            <c:v>ICS score</c:v>
          </c:tx>
          <c:spPr>
            <a:solidFill xmlns:a="http://schemas.openxmlformats.org/drawingml/2006/main">
              <a:srgbClr val="0D8790"/>
            </a:solidFill>
          </c:spPr>
          <c:cat>
            <c:strRef>
              <c:f>'ICS Dashboard'!$A$16:$A$22</c:f>
              <c:strCache>
                <c:ptCount val="0"/>
              </c:strCache>
            </c:strRef>
          </c:cat>
          <c:val>
            <c:numRef>
              <c:f>'ICS Dashboard'!$D$16:$D$22</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catAx>
      <c:valAx>
        <c:axId val="48672768"/>
        <c:scaling>
          <c:orientation val="minMax"/>
          <c:max val="10"/>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Fictional peer comparison — final ICS</a:t>
            </a:r>
          </a:p>
        </c:rich>
      </c:tx>
      <c:overlay val="0"/>
    </c:title>
    <c:plotArea>
      <c:barChart>
        <c:barDir val="col"/>
        <c:varyColors val="0"/>
        <c:ser>
          <c:idx val="0"/>
          <c:order val="0"/>
          <c:tx>
            <c:v>Final ICS</c:v>
          </c:tx>
          <c:cat>
            <c:strRef>
              <c:f>'ICS Dashboard'!$A$37:$A$40</c:f>
              <c:strCache>
                <c:ptCount val="0"/>
              </c:strCache>
            </c:strRef>
          </c:cat>
          <c:val>
            <c:numRef>
              <c:f>'ICS Dashboard'!$B$37:$B$40</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catAx>
      <c:valAx>
        <c:axId val="48672768"/>
        <c:scaling>
          <c:orientation val="minMax"/>
          <c:max val="10"/>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oneCellAnchor>
    <xdr:from>
      <xdr:col>6</xdr:col>
      <xdr:colOff>0</xdr:colOff>
      <xdr:row>0</xdr:row>
      <xdr:rowOff>0</xdr:rowOff>
    </xdr:from>
    <xdr:ext cx="2047875" cy="6477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1991e40803f04779"/>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20</xdr:col>
      <xdr:colOff>0</xdr:colOff>
      <xdr:row>0</xdr:row>
      <xdr:rowOff>0</xdr:rowOff>
    </xdr:from>
    <xdr:ext cx="2095500" cy="666750"/>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59d3f5d727134e39"/>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15</xdr:col>
      <xdr:colOff>0</xdr:colOff>
      <xdr:row>0</xdr:row>
      <xdr:rowOff>0</xdr:rowOff>
    </xdr:from>
    <xdr:ext cx="2095500" cy="666750"/>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fd6688e0bf4e4e56"/>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7</xdr:col>
      <xdr:colOff>0</xdr:colOff>
      <xdr:row>0</xdr:row>
      <xdr:rowOff>0</xdr:rowOff>
    </xdr:from>
    <xdr:ext cx="2095500" cy="666750"/>
    <xdr:pic>
      <xdr:nvPicPr>
        <xdr:cNvPr id="1" name="/xl/media/image4.png"/>
        <xdr:cNvPicPr>
          <a:picLocks xmlns:a="http://schemas.openxmlformats.org/drawingml/2006/main" noChangeAspect="1"/>
        </xdr:cNvPicPr>
      </xdr:nvPicPr>
      <xdr:blipFill>
        <a:blip xmlns:r="http://schemas.openxmlformats.org/officeDocument/2006/relationships" xmlns:a="http://schemas.openxmlformats.org/drawingml/2006/main" r:embed="Re759df47f7814746"/>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11</xdr:col>
      <xdr:colOff>0</xdr:colOff>
      <xdr:row>0</xdr:row>
      <xdr:rowOff>0</xdr:rowOff>
    </xdr:from>
    <xdr:ext cx="2095500" cy="666750"/>
    <xdr:pic>
      <xdr:nvPicPr>
        <xdr:cNvPr id="1" name="/xl/media/image5.png"/>
        <xdr:cNvPicPr>
          <a:picLocks xmlns:a="http://schemas.openxmlformats.org/drawingml/2006/main" noChangeAspect="1"/>
        </xdr:cNvPicPr>
      </xdr:nvPicPr>
      <xdr:blipFill>
        <a:blip xmlns:r="http://schemas.openxmlformats.org/officeDocument/2006/relationships" xmlns:a="http://schemas.openxmlformats.org/drawingml/2006/main" r:embed="R37a87d509d0643df"/>
        <a:stretch xmlns:a="http://schemas.openxmlformats.org/drawingml/2006/main">
          <a:fillRect/>
        </a:stretch>
      </xdr:blipFill>
      <xdr:spPr>
        <a:prstGeom xmlns:a="http://schemas.openxmlformats.org/drawingml/2006/main" prst="rect"/>
      </xdr:spPr>
    </xdr:pic>
    <xdr:clientData/>
  </xdr:oneCellAnchor>
</xdr:wsDr>
</file>

<file path=xl/drawings/drawing6.xml><?xml version="1.0" encoding="utf-8"?>
<xdr:wsDr xmlns:xdr="http://schemas.openxmlformats.org/drawingml/2006/spreadsheetDrawing">
  <xdr:oneCellAnchor>
    <xdr:from>
      <xdr:col>17</xdr:col>
      <xdr:colOff>0</xdr:colOff>
      <xdr:row>0</xdr:row>
      <xdr:rowOff>0</xdr:rowOff>
    </xdr:from>
    <xdr:ext cx="2095500" cy="666750"/>
    <xdr:pic>
      <xdr:nvPicPr>
        <xdr:cNvPr id="1" name="/xl/media/image6.png"/>
        <xdr:cNvPicPr>
          <a:picLocks xmlns:a="http://schemas.openxmlformats.org/drawingml/2006/main" noChangeAspect="1"/>
        </xdr:cNvPicPr>
      </xdr:nvPicPr>
      <xdr:blipFill>
        <a:blip xmlns:r="http://schemas.openxmlformats.org/officeDocument/2006/relationships" xmlns:a="http://schemas.openxmlformats.org/drawingml/2006/main" r:embed="R6954d0b644d94f91"/>
        <a:stretch xmlns:a="http://schemas.openxmlformats.org/drawingml/2006/main">
          <a:fillRect/>
        </a:stretch>
      </xdr:blipFill>
      <xdr:spPr>
        <a:prstGeom xmlns:a="http://schemas.openxmlformats.org/drawingml/2006/main" prst="rect"/>
      </xdr:spPr>
    </xdr:pic>
    <xdr:clientData/>
  </xdr:oneCellAnchor>
</xdr:wsDr>
</file>

<file path=xl/drawings/drawing7.xml><?xml version="1.0" encoding="utf-8"?>
<xdr:wsDr xmlns:xdr="http://schemas.openxmlformats.org/drawingml/2006/spreadsheetDrawing">
  <xdr:twoCellAnchor>
    <xdr:from>
      <xdr:col>19</xdr:col>
      <xdr:colOff>0</xdr:colOff>
      <xdr:row>12</xdr:row>
      <xdr:rowOff>0</xdr:rowOff>
    </xdr:from>
    <xdr:to>
      <xdr:col>29</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0b5957b6c55460b"/>
        </a:graphicData>
      </a:graphic>
    </xdr:graphicFrame>
    <xdr:clientData/>
  </xdr:twoCellAnchor>
  <xdr:oneCellAnchor>
    <xdr:from>
      <xdr:col>17</xdr:col>
      <xdr:colOff>0</xdr:colOff>
      <xdr:row>0</xdr:row>
      <xdr:rowOff>0</xdr:rowOff>
    </xdr:from>
    <xdr:ext cx="2095500" cy="666750"/>
    <xdr:pic>
      <xdr:nvPicPr>
        <xdr:cNvPr id="2" name="/xl/media/image7.png"/>
        <xdr:cNvPicPr>
          <a:picLocks xmlns:a="http://schemas.openxmlformats.org/drawingml/2006/main" noChangeAspect="1"/>
        </xdr:cNvPicPr>
      </xdr:nvPicPr>
      <xdr:blipFill>
        <a:blip xmlns:r="http://schemas.openxmlformats.org/officeDocument/2006/relationships" xmlns:a="http://schemas.openxmlformats.org/drawingml/2006/main" r:embed="Ref0789ed684947fe"/>
        <a:stretch xmlns:a="http://schemas.openxmlformats.org/drawingml/2006/main">
          <a:fillRect/>
        </a:stretch>
      </xdr:blipFill>
      <xdr:spPr>
        <a:prstGeom xmlns:a="http://schemas.openxmlformats.org/drawingml/2006/main" prst="rect"/>
      </xdr:spPr>
    </xdr:pic>
    <xdr:clientData/>
  </xdr:oneCellAnchor>
</xdr:wsDr>
</file>

<file path=xl/drawings/drawing8.xml><?xml version="1.0" encoding="utf-8"?>
<xdr:wsDr xmlns:xdr="http://schemas.openxmlformats.org/drawingml/2006/spreadsheetDrawing">
  <xdr:twoCellAnchor>
    <xdr:from>
      <xdr:col>0</xdr:col>
      <xdr:colOff>0</xdr:colOff>
      <xdr:row>8</xdr:row>
      <xdr:rowOff>0</xdr:rowOff>
    </xdr:from>
    <xdr:to>
      <xdr:col>7</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8cd10221c004707"/>
        </a:graphicData>
      </a:graphic>
    </xdr:graphicFrame>
    <xdr:clientData/>
  </xdr:twoCellAnchor>
  <xdr:twoCellAnchor>
    <xdr:from>
      <xdr:col>7</xdr:col>
      <xdr:colOff>0</xdr:colOff>
      <xdr:row>8</xdr:row>
      <xdr:rowOff>0</xdr:rowOff>
    </xdr:from>
    <xdr:to>
      <xdr:col>14</xdr:col>
      <xdr:colOff>0</xdr:colOff>
      <xdr:row>22</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0f2f43cd2ea468d"/>
        </a:graphicData>
      </a:graphic>
    </xdr:graphicFrame>
    <xdr:clientData/>
  </xdr:twoCellAnchor>
  <xdr:twoCellAnchor>
    <xdr:from>
      <xdr:col>14</xdr:col>
      <xdr:colOff>0</xdr:colOff>
      <xdr:row>8</xdr:row>
      <xdr:rowOff>0</xdr:rowOff>
    </xdr:from>
    <xdr:to>
      <xdr:col>21</xdr:col>
      <xdr:colOff>0</xdr:colOff>
      <xdr:row>22</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e428adb8ddd4258"/>
        </a:graphicData>
      </a:graphic>
    </xdr:graphicFrame>
    <xdr:clientData/>
  </xdr:twoCellAnchor>
  <xdr:oneCellAnchor>
    <xdr:from>
      <xdr:col>18</xdr:col>
      <xdr:colOff>0</xdr:colOff>
      <xdr:row>0</xdr:row>
      <xdr:rowOff>0</xdr:rowOff>
    </xdr:from>
    <xdr:ext cx="2095500" cy="666750"/>
    <xdr:pic>
      <xdr:nvPicPr>
        <xdr:cNvPr id="4" name="/xl/media/image8.png"/>
        <xdr:cNvPicPr>
          <a:picLocks xmlns:a="http://schemas.openxmlformats.org/drawingml/2006/main" noChangeAspect="1"/>
        </xdr:cNvPicPr>
      </xdr:nvPicPr>
      <xdr:blipFill>
        <a:blip xmlns:r="http://schemas.openxmlformats.org/officeDocument/2006/relationships" xmlns:a="http://schemas.openxmlformats.org/drawingml/2006/main" r:embed="R6db45272b2904c46"/>
        <a:stretch xmlns:a="http://schemas.openxmlformats.org/drawingml/2006/main">
          <a:fillRect/>
        </a:stretch>
      </xdr:blipFill>
      <xdr:spPr>
        <a:prstGeom xmlns:a="http://schemas.openxmlformats.org/drawingml/2006/main" prst="rect"/>
      </xdr:spPr>
    </xdr:pic>
    <xdr:clientData/>
  </xdr:oneCellAnchor>
</xdr:wsDr>
</file>

<file path=xl/drawings/drawing9.xml><?xml version="1.0" encoding="utf-8"?>
<xdr:wsDr xmlns:xdr="http://schemas.openxmlformats.org/drawingml/2006/spreadsheetDrawing">
  <xdr:oneCellAnchor>
    <xdr:from>
      <xdr:col>5</xdr:col>
      <xdr:colOff>0</xdr:colOff>
      <xdr:row>0</xdr:row>
      <xdr:rowOff>0</xdr:rowOff>
    </xdr:from>
    <xdr:ext cx="1952625" cy="619125"/>
    <xdr:pic>
      <xdr:nvPicPr>
        <xdr:cNvPr id="1" name="/xl/media/image9.png"/>
        <xdr:cNvPicPr>
          <a:picLocks xmlns:a="http://schemas.openxmlformats.org/drawingml/2006/main" noChangeAspect="1"/>
        </xdr:cNvPicPr>
      </xdr:nvPicPr>
      <xdr:blipFill>
        <a:blip xmlns:r="http://schemas.openxmlformats.org/officeDocument/2006/relationships" xmlns:a="http://schemas.openxmlformats.org/drawingml/2006/main" r:embed="R2f5d32b7f3d44a53"/>
        <a:stretch xmlns:a="http://schemas.openxmlformats.org/drawingml/2006/main">
          <a:fillRect/>
        </a:stretch>
      </xdr:blipFill>
      <xdr:spPr>
        <a:prstGeom xmlns:a="http://schemas.openxmlformats.org/drawingml/2006/main" prst="rect"/>
      </xdr:spPr>
    </xdr:pic>
    <xdr:clientData/>
  </xdr:oneCellAnchor>
</xdr:wsDr>
</file>

<file path=xl/drawings/drawing10.xml><?xml version="1.0" encoding="utf-8"?>
<xdr:wsDr xmlns:xdr="http://schemas.openxmlformats.org/drawingml/2006/spreadsheetDrawing">
  <xdr:oneCellAnchor>
    <xdr:from>
      <xdr:col>14</xdr:col>
      <xdr:colOff>0</xdr:colOff>
      <xdr:row>0</xdr:row>
      <xdr:rowOff>0</xdr:rowOff>
    </xdr:from>
    <xdr:ext cx="2095500" cy="666750"/>
    <xdr:pic>
      <xdr:nvPicPr>
        <xdr:cNvPr id="1" name="/xl/media/image10.png"/>
        <xdr:cNvPicPr>
          <a:picLocks xmlns:a="http://schemas.openxmlformats.org/drawingml/2006/main" noChangeAspect="1"/>
        </xdr:cNvPicPr>
      </xdr:nvPicPr>
      <xdr:blipFill>
        <a:blip xmlns:r="http://schemas.openxmlformats.org/officeDocument/2006/relationships" xmlns:a="http://schemas.openxmlformats.org/drawingml/2006/main" r:embed="Rad4a21cc235244b2"/>
        <a:stretch xmlns:a="http://schemas.openxmlformats.org/drawingml/2006/main">
          <a:fillRect/>
        </a:stretch>
      </xdr:blipFill>
      <xdr:spPr>
        <a:prstGeom xmlns:a="http://schemas.openxmlformats.org/drawingml/2006/main" prst="rect"/>
      </xdr:spPr>
    </xdr:pic>
    <xdr:clientData/>
  </xdr:oneCellAnchor>
</xdr:wsDr>
</file>

<file path=xl/drawings/drawing11.xml><?xml version="1.0" encoding="utf-8"?>
<xdr:wsDr xmlns:xdr="http://schemas.openxmlformats.org/drawingml/2006/spreadsheetDrawing">
  <xdr:twoCellAnchor>
    <xdr:from>
      <xdr:col>7</xdr:col>
      <xdr:colOff>0</xdr:colOff>
      <xdr:row>11</xdr:row>
      <xdr:rowOff>0</xdr:rowOff>
    </xdr:from>
    <xdr:to>
      <xdr:col>14</xdr:col>
      <xdr:colOff>0</xdr:colOff>
      <xdr:row>30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c885fe3cc0645d4"/>
        </a:graphicData>
      </a:graphic>
    </xdr:graphicFrame>
    <xdr:clientData/>
  </xdr:twoCellAnchor>
  <xdr:oneCellAnchor>
    <xdr:from>
      <xdr:col>11</xdr:col>
      <xdr:colOff>0</xdr:colOff>
      <xdr:row>0</xdr:row>
      <xdr:rowOff>0</xdr:rowOff>
    </xdr:from>
    <xdr:ext cx="2095500" cy="666750"/>
    <xdr:pic>
      <xdr:nvPicPr>
        <xdr:cNvPr id="2" name="/xl/media/image11.png"/>
        <xdr:cNvPicPr>
          <a:picLocks xmlns:a="http://schemas.openxmlformats.org/drawingml/2006/main" noChangeAspect="1"/>
        </xdr:cNvPicPr>
      </xdr:nvPicPr>
      <xdr:blipFill>
        <a:blip xmlns:r="http://schemas.openxmlformats.org/officeDocument/2006/relationships" xmlns:a="http://schemas.openxmlformats.org/drawingml/2006/main" r:embed="R364de6aee09e4460"/>
        <a:stretch xmlns:a="http://schemas.openxmlformats.org/drawingml/2006/main">
          <a:fillRect/>
        </a:stretch>
      </xdr:blipFill>
      <xdr:spPr>
        <a:prstGeom xmlns:a="http://schemas.openxmlformats.org/drawingml/2006/main" prst="rect"/>
      </xdr:spPr>
    </xdr:pic>
    <xdr:clientData/>
  </xdr:oneCellAnchor>
</xdr:wsDr>
</file>

<file path=xl/drawings/drawing12.xml><?xml version="1.0" encoding="utf-8"?>
<xdr:wsDr xmlns:xdr="http://schemas.openxmlformats.org/drawingml/2006/spreadsheetDrawing">
  <xdr:twoCellAnchor>
    <xdr:from>
      <xdr:col>6</xdr:col>
      <xdr:colOff>0</xdr:colOff>
      <xdr:row>9</xdr:row>
      <xdr:rowOff>0</xdr:rowOff>
    </xdr:from>
    <xdr:to>
      <xdr:col>14</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9f3ba520c4347c7"/>
        </a:graphicData>
      </a:graphic>
    </xdr:graphicFrame>
    <xdr:clientData/>
  </xdr:twoCellAnchor>
  <xdr:oneCellAnchor>
    <xdr:from>
      <xdr:col>11</xdr:col>
      <xdr:colOff>0</xdr:colOff>
      <xdr:row>0</xdr:row>
      <xdr:rowOff>0</xdr:rowOff>
    </xdr:from>
    <xdr:ext cx="2095500" cy="666750"/>
    <xdr:pic>
      <xdr:nvPicPr>
        <xdr:cNvPr id="2" name="/xl/media/image12.png"/>
        <xdr:cNvPicPr>
          <a:picLocks xmlns:a="http://schemas.openxmlformats.org/drawingml/2006/main" noChangeAspect="1"/>
        </xdr:cNvPicPr>
      </xdr:nvPicPr>
      <xdr:blipFill>
        <a:blip xmlns:r="http://schemas.openxmlformats.org/officeDocument/2006/relationships" xmlns:a="http://schemas.openxmlformats.org/drawingml/2006/main" r:embed="Rc4359c1f81584635"/>
        <a:stretch xmlns:a="http://schemas.openxmlformats.org/drawingml/2006/main">
          <a:fillRect/>
        </a:stretch>
      </xdr:blipFill>
      <xdr:spPr>
        <a:prstGeom xmlns:a="http://schemas.openxmlformats.org/drawingml/2006/main" prst="rect"/>
      </xdr:spPr>
    </xdr:pic>
    <xdr:clientData/>
  </xdr:oneCellAnchor>
</xdr:wsDr>
</file>

<file path=xl/drawings/drawing13.xml><?xml version="1.0" encoding="utf-8"?>
<xdr:wsDr xmlns:xdr="http://schemas.openxmlformats.org/drawingml/2006/spreadsheetDrawing">
  <xdr:twoCellAnchor>
    <xdr:from>
      <xdr:col>7</xdr:col>
      <xdr:colOff>0</xdr:colOff>
      <xdr:row>13</xdr:row>
      <xdr:rowOff>0</xdr:rowOff>
    </xdr:from>
    <xdr:to>
      <xdr:col>14</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97b3f5efa164fd4"/>
        </a:graphicData>
      </a:graphic>
    </xdr:graphicFrame>
    <xdr:clientData/>
  </xdr:twoCellAnchor>
  <xdr:twoCellAnchor>
    <xdr:from>
      <xdr:col>7</xdr:col>
      <xdr:colOff>0</xdr:colOff>
      <xdr:row>29</xdr:row>
      <xdr:rowOff>0</xdr:rowOff>
    </xdr:from>
    <xdr:to>
      <xdr:col>14</xdr:col>
      <xdr:colOff>0</xdr:colOff>
      <xdr:row>41</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0003cd99f6144ba"/>
        </a:graphicData>
      </a:graphic>
    </xdr:graphicFrame>
    <xdr:clientData/>
  </xdr:twoCellAnchor>
  <xdr:oneCellAnchor>
    <xdr:from>
      <xdr:col>11</xdr:col>
      <xdr:colOff>0</xdr:colOff>
      <xdr:row>0</xdr:row>
      <xdr:rowOff>0</xdr:rowOff>
    </xdr:from>
    <xdr:ext cx="1143000" cy="361950"/>
    <xdr:pic>
      <xdr:nvPicPr>
        <xdr:cNvPr id="3" name="ffe24ce7-6ede-4e1a-84e5-77d0eaae62dd"/>
        <xdr:cNvPicPr>
          <a:picLocks xmlns:a="http://schemas.openxmlformats.org/drawingml/2006/main" noChangeAspect="1"/>
        </xdr:cNvPicPr>
      </xdr:nvPicPr>
      <xdr:blipFill>
        <a:blip xmlns:r="http://schemas.openxmlformats.org/officeDocument/2006/relationships" xmlns:a="http://schemas.openxmlformats.org/drawingml/2006/main" r:embed="Rd942f6fda84f4054"/>
        <a:stretch xmlns:a="http://schemas.openxmlformats.org/drawingml/2006/main">
          <a:fillRect/>
        </a:stretch>
      </xdr:blipFill>
      <xdr:spPr>
        <a:prstGeom xmlns:a="http://schemas.openxmlformats.org/drawingml/2006/main" prst="rect"/>
      </xdr:spPr>
    </xdr:pic>
    <xdr:clientData/>
  </xdr:oneCellAnchor>
</xdr:wsDr>
</file>

<file path=xl/persons/person.xml><?xml version="1.0" encoding="utf-8"?>
<xltc:personList xmlns:xltc="http://schemas.microsoft.com/office/spreadsheetml/2018/threadedcomments">
  <xltc:person displayName="Saimir Skuqi" id="{DBE163D2-056B-44FF-BD15-F94883C6B7A0}"/>
</xltc:personList>
</file>

<file path=xl/tables/table1.xml><?xml version="1.0" encoding="utf-8"?>
<x:table xmlns:x="http://schemas.openxmlformats.org/spreadsheetml/2006/main" id="1" name="RiskRegisterTable" displayName="RiskRegisterTable" ref="A7:X57" headerRowCount="1" totalsRowCount="0" totalsRowShown="0">
  <x:tableColumns count="24">
    <x:tableColumn id="1" name="Risk ID"/>
    <x:tableColumn id="2" name="Risk category"/>
    <x:tableColumn id="3" name="Risk event"/>
    <x:tableColumn id="4" name="Cause"/>
    <x:tableColumn id="5" name="Potential consequence"/>
    <x:tableColumn id="6" name="Risk owner"/>
    <x:tableColumn id="7" name="Inherent likelihood (1–5)"/>
    <x:tableColumn id="8" name="Inherent impact (1–5)"/>
    <x:tableColumn id="9" name="Inherent score"/>
    <x:tableColumn id="10" name="Key controls"/>
    <x:tableColumn id="11" name="Control effectiveness"/>
    <x:tableColumn id="12" name="Residual likelihood (1–5)"/>
    <x:tableColumn id="13" name="Residual impact (1–5)"/>
    <x:tableColumn id="14" name="Residual score"/>
    <x:tableColumn id="15" name="Risk appetite"/>
    <x:tableColumn id="16" name="Treatment / action"/>
    <x:tableColumn id="17" name="Action owner"/>
    <x:tableColumn id="18" name="Due date"/>
    <x:tableColumn id="19" name="Status"/>
    <x:tableColumn id="20" name="Key risk indicator"/>
    <x:tableColumn id="21" name="KRI threshold"/>
    <x:tableColumn id="22" name="Last review"/>
    <x:tableColumn id="23" name="Next review"/>
    <x:tableColumn id="24" name="Escalation?"/>
  </x:tableColumns>
  <x:tableStyleInfo name="TableStyleMedium2" showFirstColumn="0" showLastColumn="0" showRowStripes="1" showColumnStripes="0"/>
</x:table>
</file>

<file path=xl/tables/table2.xml><?xml version="1.0" encoding="utf-8"?>
<x:table xmlns:x="http://schemas.openxmlformats.org/spreadsheetml/2006/main" id="2" name="IncidentReportTable" displayName="IncidentReportTable" ref="A7:S47" headerRowCount="1" totalsRowCount="0" totalsRowShown="0">
  <x:tableColumns count="19">
    <x:tableColumn id="1" name="Incident ID"/>
    <x:tableColumn id="2" name="Detected date/time"/>
    <x:tableColumn id="3" name="Business area"/>
    <x:tableColumn id="4" name="Incident type"/>
    <x:tableColumn id="5" name="Severity"/>
    <x:tableColumn id="6" name="Description / facts"/>
    <x:tableColumn id="7" name="Immediate containment"/>
    <x:tableColumn id="8" name="Root cause"/>
    <x:tableColumn id="9" name="Financial impact (£)"/>
    <x:tableColumn id="10" name="Customer impact?"/>
    <x:tableColumn id="11" name="Regulatory reportable?"/>
    <x:tableColumn id="12" name="Owner"/>
    <x:tableColumn id="13" name="Status"/>
    <x:tableColumn id="14" name="Target closure"/>
    <x:tableColumn id="15" name="Actual closure"/>
    <x:tableColumn id="16" name="Lessons learned"/>
    <x:tableColumn id="17" name="Action / issue reference"/>
    <x:tableColumn id="18" name="Days open"/>
    <x:tableColumn id="19" name="Escalation / overdue?"/>
  </x:tableColumns>
  <x:tableStyleInfo name="TableStyleMedium2" showFirstColumn="0" showLastColumn="0" showRowStripes="1" showColumnStripes="0"/>
</x:table>
</file>

<file path=xl/tables/table3.xml><?xml version="1.0" encoding="utf-8"?>
<x:table xmlns:x="http://schemas.openxmlformats.org/spreadsheetml/2006/main" id="3" name="KRIMonitoringTable" displayName="KRIMonitoringTable" ref="A5:O45" headerRowCount="1" totalsRowCount="0" totalsRowShown="0">
  <x:tableColumns count="15">
    <x:tableColumn id="1" name="Risk area"/>
    <x:tableColumn id="2" name="KRI"/>
    <x:tableColumn id="3" name="Unit"/>
    <x:tableColumn id="4" name="Direction"/>
    <x:tableColumn id="5" name="Owner"/>
    <x:tableColumn id="6" name="Frequency"/>
    <x:tableColumn id="7" name="Green threshold"/>
    <x:tableColumn id="8" name="Amber threshold"/>
    <x:tableColumn id="9" name="Red threshold"/>
    <x:tableColumn id="10" name="Current value"/>
    <x:tableColumn id="11" name="Prior value"/>
    <x:tableColumn id="12" name="Trend"/>
    <x:tableColumn id="13" name="Status"/>
    <x:tableColumn id="14" name="Management commentary"/>
    <x:tableColumn id="15" name="As-of date"/>
  </x:tableColumns>
  <x:tableStyleInfo name="TableStyleMedium2" showFirstColumn="0" showLastColumn="0" showRowStripes="1" showColumnStripes="0"/>
</x:table>
</file>

<file path=xl/tables/table4.xml><?xml version="1.0" encoding="utf-8"?>
<x:table xmlns:x="http://schemas.openxmlformats.org/spreadsheetml/2006/main" id="4" name="CreditMonitoringTable" displayName="CreditMonitoringTable" ref="A7:V47" headerRowCount="1" totalsRowCount="0" totalsRowShown="0">
  <x:tableColumns count="22">
    <x:tableColumn id="1" name="Counterparty ID"/>
    <x:tableColumn id="2" name="Counterparty"/>
    <x:tableColumn id="3" name="Sector"/>
    <x:tableColumn id="4" name="Country"/>
    <x:tableColumn id="5" name="Internal rating"/>
    <x:tableColumn id="6" name="External rating"/>
    <x:tableColumn id="7" name="Limit (£)"/>
    <x:tableColumn id="8" name="Current exposure (£)"/>
    <x:tableColumn id="9" name="Potential future exposure (£)"/>
    <x:tableColumn id="10" name="Total exposure (£)"/>
    <x:tableColumn id="11" name="Utilisation"/>
    <x:tableColumn id="12" name="Eligible collateral (£)"/>
    <x:tableColumn id="13" name="Net exposure (£)"/>
    <x:tableColumn id="14" name="PD"/>
    <x:tableColumn id="15" name="LGD"/>
    <x:tableColumn id="16" name="Expected loss (£)"/>
    <x:tableColumn id="17" name="Watchlist?"/>
    <x:tableColumn id="18" name="Covenant / trigger"/>
    <x:tableColumn id="19" name="Last review"/>
    <x:tableColumn id="20" name="Next review"/>
    <x:tableColumn id="21" name="Status"/>
    <x:tableColumn id="22" name="Commentary"/>
  </x:tableColumns>
  <x:tableStyleInfo name="TableStyleMedium2" showFirstColumn="0" showLastColumn="0" showRowStripes="1" showColumnStripes="0"/>
</x:table>
</file>

<file path=xl/tables/table5.xml><?xml version="1.0" encoding="utf-8"?>
<x:table xmlns:x="http://schemas.openxmlformats.org/spreadsheetml/2006/main" id="5" name="LiquidityMonitoringTable" displayName="LiquidityMonitoringTable" ref="A5:R65" headerRowCount="1" totalsRowCount="0" totalsRowShown="0">
  <x:tableColumns count="18">
    <x:tableColumn id="1" name="Date"/>
    <x:tableColumn id="2" name="Currency"/>
    <x:tableColumn id="3" name="Entity"/>
    <x:tableColumn id="4" name="Cash (£)"/>
    <x:tableColumn id="5" name="HQLA (£)"/>
    <x:tableColumn id="6" name="Available RCF (£)"/>
    <x:tableColumn id="7" name="Expected inflows 30d (£)"/>
    <x:tableColumn id="8" name="Expected outflows 30d (£)"/>
    <x:tableColumn id="9" name="Net outflow (£)"/>
    <x:tableColumn id="10" name="Survival horizon (days)"/>
    <x:tableColumn id="11" name="Minimum buffer (£)"/>
    <x:tableColumn id="12" name="Total available liquidity (£)"/>
    <x:tableColumn id="13" name="Buffer surplus (£)"/>
    <x:tableColumn id="14" name="LCR proxy"/>
    <x:tableColumn id="15" name="LCR limit"/>
    <x:tableColumn id="16" name="Headroom"/>
    <x:tableColumn id="17" name="Status"/>
    <x:tableColumn id="18" name="Commentar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9cb7d32a5649448d" /></Relationships>
</file>

<file path=xl/worksheets/_rels/sheet2.xml.rels>&#65279;<?xml version="1.0" encoding="utf-8"?><Relationships xmlns="http://schemas.openxmlformats.org/package/2006/relationships"><Relationship Type="http://schemas.openxmlformats.org/officeDocument/2006/relationships/drawing" Target="/xl/drawings/drawing2.xml" Id="R347250ee11754e64" /><Relationship Type="http://schemas.openxmlformats.org/officeDocument/2006/relationships/table" Target="/xl/tables/table1.xml" Id="R39f8af8b2efe49db" /></Relationships>
</file>

<file path=xl/worksheets/_rels/sheet3.xml.rels>&#65279;<?xml version="1.0" encoding="utf-8"?><Relationships xmlns="http://schemas.openxmlformats.org/package/2006/relationships"><Relationship Type="http://schemas.openxmlformats.org/officeDocument/2006/relationships/drawing" Target="/xl/drawings/drawing3.xml" Id="R899d5b8cff5d41ad" /><Relationship Type="http://schemas.openxmlformats.org/officeDocument/2006/relationships/table" Target="/xl/tables/table2.xml" Id="R558f1c9b86754eff" /></Relationships>
</file>

<file path=xl/worksheets/_rels/sheet4.xml.rels>&#65279;<?xml version="1.0" encoding="utf-8"?><Relationships xmlns="http://schemas.openxmlformats.org/package/2006/relationships"><Relationship Type="http://schemas.openxmlformats.org/officeDocument/2006/relationships/drawing" Target="/xl/drawings/drawing4.xml" Id="R4e3c9da044734f93" /></Relationships>
</file>

<file path=xl/worksheets/_rels/sheet5.xml.rels>&#65279;<?xml version="1.0" encoding="utf-8"?><Relationships xmlns="http://schemas.openxmlformats.org/package/2006/relationships"><Relationship Type="http://schemas.openxmlformats.org/officeDocument/2006/relationships/drawing" Target="/xl/drawings/drawing5.xml" Id="R133be6020f094142" /><Relationship Type="http://schemas.openxmlformats.org/officeDocument/2006/relationships/table" Target="/xl/tables/table3.xml" Id="Ra1ccac5525c2416e" /></Relationships>
</file>

<file path=xl/worksheets/_rels/sheet6.xml.rels>&#65279;<?xml version="1.0" encoding="utf-8"?><Relationships xmlns="http://schemas.openxmlformats.org/package/2006/relationships"><Relationship Type="http://schemas.openxmlformats.org/officeDocument/2006/relationships/drawing" Target="/xl/drawings/drawing6.xml" Id="R19a89fc3ba414eb9" /><Relationship Type="http://schemas.openxmlformats.org/officeDocument/2006/relationships/table" Target="/xl/tables/table4.xml" Id="R07df4a0f4c344435" /></Relationships>
</file>

<file path=xl/worksheets/_rels/sheet7.xml.rels>&#65279;<?xml version="1.0" encoding="utf-8"?><Relationships xmlns="http://schemas.openxmlformats.org/package/2006/relationships"><Relationship Type="http://schemas.openxmlformats.org/officeDocument/2006/relationships/drawing" Target="/xl/drawings/drawing7.xml" Id="R3814450183d044d9" /><Relationship Type="http://schemas.openxmlformats.org/officeDocument/2006/relationships/table" Target="/xl/tables/table5.xml" Id="R73f51001a5734aca" /></Relationships>
</file>

<file path=xl/worksheets/_rels/sheet8.xml.rels>&#65279;<?xml version="1.0" encoding="utf-8"?><Relationships xmlns="http://schemas.openxmlformats.org/package/2006/relationships"><Relationship Type="http://schemas.openxmlformats.org/officeDocument/2006/relationships/drawing" Target="/xl/drawings/drawing8.xml" Id="R17861a6722b047f5" /></Relationships>
</file>

<file path=xl/worksheets/_rels/sheet9.xml.rels>&#65279;<?xml version="1.0" encoding="utf-8"?><Relationships xmlns="http://schemas.openxmlformats.org/package/2006/relationships"><Relationship Type="http://schemas.openxmlformats.org/officeDocument/2006/relationships/drawing" Target="/xl/drawings/drawing9.xml" Id="R6d303642e2d04580" /></Relationships>
</file>

<file path=xl/worksheets/_rels/sheet10.xml.rels>&#65279;<?xml version="1.0" encoding="utf-8"?><Relationships xmlns="http://schemas.openxmlformats.org/package/2006/relationships"><Relationship Type="http://schemas.openxmlformats.org/officeDocument/2006/relationships/drawing" Target="/xl/drawings/drawing10.xml" Id="Ra2bd042911be4c31" /></Relationships>
</file>

<file path=xl/worksheets/_rels/sheet11.xml.rels>&#65279;<?xml version="1.0" encoding="utf-8"?><Relationships xmlns="http://schemas.openxmlformats.org/package/2006/relationships"><Relationship Type="http://schemas.openxmlformats.org/officeDocument/2006/relationships/drawing" Target="/xl/drawings/drawing11.xml" Id="Rbd526c087cbc4178" /></Relationships>
</file>

<file path=xl/worksheets/_rels/sheet12.xml.rels>&#65279;<?xml version="1.0" encoding="utf-8"?><Relationships xmlns="http://schemas.openxmlformats.org/package/2006/relationships"><Relationship Type="http://schemas.openxmlformats.org/officeDocument/2006/relationships/drawing" Target="/xl/drawings/drawing12.xml" Id="R041534028d514840" /></Relationships>
</file>

<file path=xl/worksheets/_rels/sheet13.xml.rels>&#65279;<?xml version="1.0" encoding="utf-8"?><Relationships xmlns="http://schemas.openxmlformats.org/package/2006/relationships"><Relationship Type="http://schemas.openxmlformats.org/officeDocument/2006/relationships/drawing" Target="/xl/drawings/drawing13.xml" Id="R2a5b3373eed447d8" /></Relationships>
</file>

<file path=xl/worksheets/sheet1.xml><?xml version="1.0" encoding="utf-8"?>
<x:worksheet xmlns:x="http://schemas.openxmlformats.org/spreadsheetml/2006/main">
  <x:sheetViews>
    <x:sheetView showGridLines="0" workbookViewId="0"/>
  </x:sheetViews>
  <x:sheetFormatPr defaultRowHeight="15"/>
  <x:cols>
    <x:col min="1" max="1" width="15" hidden="0" customWidth="1"/>
    <x:col min="2" max="2" width="15" hidden="0" customWidth="1"/>
    <x:col min="3" max="3" width="15" hidden="0" customWidth="1"/>
    <x:col min="4" max="4" width="15" hidden="0" customWidth="1"/>
    <x:col min="5" max="5" width="3" hidden="0" customWidth="1"/>
    <x:col min="6" max="6" width="15" hidden="0" customWidth="1"/>
    <x:col min="7" max="7" width="15" hidden="0" customWidth="1"/>
    <x:col min="8" max="8" width="15" hidden="0" customWidth="1"/>
    <x:col min="9" max="9" width="15" hidden="0" customWidth="1"/>
    <x:col min="10" max="10" width="3" hidden="0" customWidth="1"/>
  </x:cols>
  <x:sheetData>
    <x:row r="1" ht="34" customHeight="1">
      <x:c r="A1" s="260" t="str">
        <x:v>Risk Consulting London — Risk Reporting &amp; Dashboard Template Pack</x:v>
      </x:c>
      <x:c r="B1" s="260" t="str">
        <x:v>Risk Consulting London — Risk Reporting &amp; Dashboard Template Pack</x:v>
      </x:c>
      <x:c r="C1" s="260" t="str">
        <x:v>Risk Consulting London — Risk Reporting &amp; Dashboard Template Pack</x:v>
      </x:c>
      <x:c r="D1" s="260" t="str">
        <x:v>Risk Consulting London — Risk Reporting &amp; Dashboard Template Pack</x:v>
      </x:c>
      <x:c r="E1" s="260" t="str">
        <x:v>Risk Consulting London — Risk Reporting &amp; Dashboard Template Pack</x:v>
      </x:c>
      <x:c r="F1" s="260" t="str">
        <x:v>Risk Consulting London — Risk Reporting &amp; Dashboard Template Pack</x:v>
      </x:c>
      <x:c r="G1" s="260" t="str">
        <x:v>Risk Consulting London — Risk Reporting &amp; Dashboard Template Pack</x:v>
      </x:c>
      <x:c r="H1" s="260" t="str">
        <x:v>Risk Consulting London — Risk Reporting &amp; Dashboard Template Pack</x:v>
      </x:c>
      <x:c r="I1" s="260" t="str">
        <x:v>Risk Consulting London — Risk Reporting &amp; Dashboard Template Pack</x:v>
      </x:c>
      <x:c r="J1" s="3"/>
    </x:row>
    <x:row r="2" ht="34" customHeight="1">
      <x:c r="A2" s="264" t="str">
        <x:v>Editable Excel templates for enterprise risk, incidents, KRIs, credit, liquidity, executive reporting and a sanitised Internal Credit Score (ICS) dashboard. All sample data is fictional and illustrative.</x:v>
      </x:c>
      <x:c r="B2" s="264" t="str">
        <x:v>Editable Excel templates for enterprise risk, incidents, KRIs, credit, liquidity, executive reporting and a sanitised Internal Credit Score (ICS) dashboard. All sample data is fictional and illustrative.</x:v>
      </x:c>
      <x:c r="C2" s="264" t="str">
        <x:v>Editable Excel templates for enterprise risk, incidents, KRIs, credit, liquidity, executive reporting and a sanitised Internal Credit Score (ICS) dashboard. All sample data is fictional and illustrative.</x:v>
      </x:c>
      <x:c r="D2" s="264" t="str">
        <x:v>Editable Excel templates for enterprise risk, incidents, KRIs, credit, liquidity, executive reporting and a sanitised Internal Credit Score (ICS) dashboard. All sample data is fictional and illustrative.</x:v>
      </x:c>
      <x:c r="E2" s="264" t="str">
        <x:v>Editable Excel templates for enterprise risk, incidents, KRIs, credit, liquidity, executive reporting and a sanitised Internal Credit Score (ICS) dashboard. All sample data is fictional and illustrative.</x:v>
      </x:c>
      <x:c r="F2" s="264" t="str">
        <x:v>Editable Excel templates for enterprise risk, incidents, KRIs, credit, liquidity, executive reporting and a sanitised Internal Credit Score (ICS) dashboard. All sample data is fictional and illustrative.</x:v>
      </x:c>
      <x:c r="G2" s="264" t="str">
        <x:v>Editable Excel templates for enterprise risk, incidents, KRIs, credit, liquidity, executive reporting and a sanitised Internal Credit Score (ICS) dashboard. All sample data is fictional and illustrative.</x:v>
      </x:c>
      <x:c r="H2" s="264" t="str">
        <x:v>Editable Excel templates for enterprise risk, incidents, KRIs, credit, liquidity, executive reporting and a sanitised Internal Credit Score (ICS) dashboard. All sample data is fictional and illustrative.</x:v>
      </x:c>
      <x:c r="I2" s="264" t="str">
        <x:v>Editable Excel templates for enterprise risk, incidents, KRIs, credit, liquidity, executive reporting and a sanitised Internal Credit Score (ICS) dashboard. All sample data is fictional and illustrative.</x:v>
      </x:c>
      <x:c r="J2" s="7"/>
    </x:row>
    <x:row r="3" ht="19" customHeight="1"/>
    <x:row r="4" ht="19" customHeight="1">
      <x:c r="A4" s="268" t="str">
        <x:v>How to use this pack</x:v>
      </x:c>
      <x:c r="B4" s="268" t="str">
        <x:v>How to use this pack</x:v>
      </x:c>
      <x:c r="C4" s="268" t="str">
        <x:v>How to use this pack</x:v>
      </x:c>
      <x:c r="D4" s="268" t="str">
        <x:v>How to use this pack</x:v>
      </x:c>
      <x:c r="E4" s="268" t="str">
        <x:v>How to use this pack</x:v>
      </x:c>
      <x:c r="F4" s="268" t="str">
        <x:v>How to use this pack</x:v>
      </x:c>
      <x:c r="H4" s="268" t="str">
        <x:v>Workbook legend</x:v>
      </x:c>
      <x:c r="I4" s="268"/>
      <x:c r="J4" s="9"/>
    </x:row>
    <x:row r="5" ht="19" customHeight="1">
      <x:c r="A5" s="289"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B5" s="290"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C5" s="290"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D5" s="290"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E5" s="290"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F5" s="291"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H5" s="301" t="str">
        <x:v>Blue text</x:v>
      </x:c>
      <x:c r="I5" s="300" t="str">
        <x:v>Editable input</x:v>
      </x:c>
    </x:row>
    <x:row r="6" ht="19" customHeight="1">
      <x:c r="A6" s="292"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B6"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C6"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D6"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E6"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F6" s="294"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H6" s="302" t="str">
        <x:v>Black text</x:v>
      </x:c>
      <x:c r="I6" s="300" t="str">
        <x:v>Formula / calculation</x:v>
      </x:c>
    </x:row>
    <x:row r="7" ht="19" customHeight="1">
      <x:c r="A7" s="292"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B7"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C7"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D7"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E7"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F7" s="294"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H7" s="303" t="str">
        <x:v>Green text</x:v>
      </x:c>
      <x:c r="I7" s="300" t="str">
        <x:v>Cross-sheet link</x:v>
      </x:c>
    </x:row>
    <x:row r="8" ht="19" customHeight="1">
      <x:c r="A8" s="292"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B8"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C8"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D8"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E8"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F8" s="294"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H8" s="304" t="str">
        <x:v>RAG fills</x:v>
      </x:c>
      <x:c r="I8" s="300" t="str">
        <x:v>Status / exception</x:v>
      </x:c>
    </x:row>
    <x:row r="9" ht="19" customHeight="1">
      <x:c r="A9" s="292"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B9"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C9"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D9"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E9" s="293"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F9" s="294"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row>
    <x:row r="10" ht="19" customHeight="1">
      <x:c r="A10" s="295"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B10" s="296"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C10" s="296"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D10" s="296"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E10" s="296"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c r="F10" s="297" t="str">
        <x:v>1. Replace blue sample inputs with your own data.
2. Keep black formulas and green cross-sheet links intact.
3. Calibrate likelihood, impact, thresholds and escalation to approved risk appetite.
4. Assign named owners, due dates and evidence-based closure criteria.
5. Use dashboards for decision support; retain challenge, governance and source evidence.
6. Refresh Power BI/Tableau downloads from the same sanitised starter datasets supplied with this pack.</x:v>
      </x:c>
    </x:row>
    <x:row r="11" ht="19" customHeight="1"/>
    <x:row r="12" ht="19" customHeight="1">
      <x:c r="A12" s="268" t="str">
        <x:v>Included templates</x:v>
      </x:c>
      <x:c r="B12" s="268" t="str">
        <x:v>Included templates</x:v>
      </x:c>
      <x:c r="C12" s="268" t="str">
        <x:v>Included templates</x:v>
      </x:c>
      <x:c r="D12" s="268" t="str">
        <x:v>Included templates</x:v>
      </x:c>
      <x:c r="E12" s="268" t="str">
        <x:v>Included templates</x:v>
      </x:c>
      <x:c r="F12" s="268" t="str">
        <x:v>Included templates</x:v>
      </x:c>
      <x:c r="G12" s="268" t="str">
        <x:v>Included templates</x:v>
      </x:c>
      <x:c r="H12" s="268" t="str">
        <x:v>Included templates</x:v>
      </x:c>
      <x:c r="I12" s="268" t="str">
        <x:v>Included templates</x:v>
      </x:c>
      <x:c r="J12" s="51"/>
    </x:row>
    <x:row r="13" ht="19" customHeight="1"/>
    <x:row r="14" ht="19" customHeight="1">
      <x:c r="A14" s="306" t="str">
        <x:v>Risk Register</x:v>
      </x:c>
      <x:c r="B14" s="306" t="str">
        <x:v>Risk Register</x:v>
      </x:c>
      <x:c r="C14" s="306" t="str">
        <x:v>Risk Register</x:v>
      </x:c>
      <x:c r="D14" s="306" t="str">
        <x:v>Risk Register</x:v>
      </x:c>
      <x:c r="F14" s="306" t="str">
        <x:v>Incident Report</x:v>
      </x:c>
      <x:c r="G14" s="306" t="str">
        <x:v>Incident Report</x:v>
      </x:c>
      <x:c r="H14" s="306" t="str">
        <x:v>Incident Report</x:v>
      </x:c>
      <x:c r="I14" s="306" t="str">
        <x:v>Incident Report</x:v>
      </x:c>
    </x:row>
    <x:row r="15" ht="19" customHeight="1">
      <x:c r="A15" s="308" t="str">
        <x:v>Inherent/residual scoring, appetite, ownership and actions.</x:v>
      </x:c>
      <x:c r="B15" s="308" t="str">
        <x:v>Inherent/residual scoring, appetite, ownership and actions.</x:v>
      </x:c>
      <x:c r="C15" s="308" t="str">
        <x:v>Inherent/residual scoring, appetite, ownership and actions.</x:v>
      </x:c>
      <x:c r="D15" s="308" t="str">
        <x:v>Inherent/residual scoring, appetite, ownership and actions.</x:v>
      </x:c>
      <x:c r="F15" s="308" t="str">
        <x:v>Facts, containment, root cause, reportability and closure.</x:v>
      </x:c>
      <x:c r="G15" s="308" t="str">
        <x:v>Facts, containment, root cause, reportability and closure.</x:v>
      </x:c>
      <x:c r="H15" s="308" t="str">
        <x:v>Facts, containment, root cause, reportability and closure.</x:v>
      </x:c>
      <x:c r="I15" s="308" t="str">
        <x:v>Facts, containment, root cause, reportability and closure.</x:v>
      </x:c>
    </x:row>
    <x:row r="16" ht="19" customHeight="1"/>
    <x:row r="17" ht="19" customHeight="1">
      <x:c r="A17" s="306" t="str">
        <x:v>Risk Matrix</x:v>
      </x:c>
      <x:c r="B17" s="306" t="str">
        <x:v>Risk Matrix</x:v>
      </x:c>
      <x:c r="C17" s="306" t="str">
        <x:v>Risk Matrix</x:v>
      </x:c>
      <x:c r="D17" s="306" t="str">
        <x:v>Risk Matrix</x:v>
      </x:c>
      <x:c r="F17" s="306" t="str">
        <x:v>KRI Monitoring</x:v>
      </x:c>
      <x:c r="G17" s="306" t="str">
        <x:v>KRI Monitoring</x:v>
      </x:c>
      <x:c r="H17" s="306" t="str">
        <x:v>KRI Monitoring</x:v>
      </x:c>
      <x:c r="I17" s="306" t="str">
        <x:v>KRI Monitoring</x:v>
      </x:c>
    </x:row>
    <x:row r="18" ht="19" customHeight="1">
      <x:c r="A18" s="308" t="str">
        <x:v>Editable 5×5 likelihood × impact calibration.</x:v>
      </x:c>
      <x:c r="B18" s="308" t="str">
        <x:v>Editable 5×5 likelihood × impact calibration.</x:v>
      </x:c>
      <x:c r="C18" s="308" t="str">
        <x:v>Editable 5×5 likelihood × impact calibration.</x:v>
      </x:c>
      <x:c r="D18" s="308" t="str">
        <x:v>Editable 5×5 likelihood × impact calibration.</x:v>
      </x:c>
      <x:c r="F18" s="308" t="str">
        <x:v>Direction-aware thresholds, trends and RAG status.</x:v>
      </x:c>
      <x:c r="G18" s="308" t="str">
        <x:v>Direction-aware thresholds, trends and RAG status.</x:v>
      </x:c>
      <x:c r="H18" s="308" t="str">
        <x:v>Direction-aware thresholds, trends and RAG status.</x:v>
      </x:c>
      <x:c r="I18" s="308" t="str">
        <x:v>Direction-aware thresholds, trends and RAG status.</x:v>
      </x:c>
    </x:row>
    <x:row r="19" ht="19" customHeight="1"/>
    <x:row r="20" ht="19" customHeight="1">
      <x:c r="A20" s="306" t="str">
        <x:v>Credit Monitoring</x:v>
      </x:c>
      <x:c r="B20" s="306" t="str">
        <x:v>Credit Monitoring</x:v>
      </x:c>
      <x:c r="C20" s="306" t="str">
        <x:v>Credit Monitoring</x:v>
      </x:c>
      <x:c r="D20" s="306" t="str">
        <x:v>Credit Monitoring</x:v>
      </x:c>
      <x:c r="F20" s="306" t="str">
        <x:v>Liquidity Monitoring</x:v>
      </x:c>
      <x:c r="G20" s="306" t="str">
        <x:v>Liquidity Monitoring</x:v>
      </x:c>
      <x:c r="H20" s="306" t="str">
        <x:v>Liquidity Monitoring</x:v>
      </x:c>
      <x:c r="I20" s="306" t="str">
        <x:v>Liquidity Monitoring</x:v>
      </x:c>
    </x:row>
    <x:row r="21" ht="19" customHeight="1">
      <x:c r="A21" s="308" t="str">
        <x:v>Limits, exposure, utilisation, collateral, PD/LGD and EL.</x:v>
      </x:c>
      <x:c r="B21" s="308" t="str">
        <x:v>Limits, exposure, utilisation, collateral, PD/LGD and EL.</x:v>
      </x:c>
      <x:c r="C21" s="308" t="str">
        <x:v>Limits, exposure, utilisation, collateral, PD/LGD and EL.</x:v>
      </x:c>
      <x:c r="D21" s="308" t="str">
        <x:v>Limits, exposure, utilisation, collateral, PD/LGD and EL.</x:v>
      </x:c>
      <x:c r="F21" s="308" t="str">
        <x:v>Resources, outflows, buffers, LCR proxy and headroom.</x:v>
      </x:c>
      <x:c r="G21" s="308" t="str">
        <x:v>Resources, outflows, buffers, LCR proxy and headroom.</x:v>
      </x:c>
      <x:c r="H21" s="308" t="str">
        <x:v>Resources, outflows, buffers, LCR proxy and headroom.</x:v>
      </x:c>
      <x:c r="I21" s="308" t="str">
        <x:v>Resources, outflows, buffers, LCR proxy and headroom.</x:v>
      </x:c>
    </x:row>
    <x:row r="22" ht="19" customHeight="1"/>
    <x:row r="23" ht="19" customHeight="1">
      <x:c r="A23" s="306" t="str">
        <x:v>ERM Dashboard</x:v>
      </x:c>
      <x:c r="B23" s="306" t="str">
        <x:v>ERM Dashboard</x:v>
      </x:c>
      <x:c r="C23" s="306" t="str">
        <x:v>ERM Dashboard</x:v>
      </x:c>
      <x:c r="D23" s="306" t="str">
        <x:v>ERM Dashboard</x:v>
      </x:c>
      <x:c r="F23" s="306" t="str">
        <x:v>Dashboard Data</x:v>
      </x:c>
      <x:c r="G23" s="306" t="str">
        <x:v>Dashboard Data</x:v>
      </x:c>
      <x:c r="H23" s="306" t="str">
        <x:v>Dashboard Data</x:v>
      </x:c>
      <x:c r="I23" s="306" t="str">
        <x:v>Dashboard Data</x:v>
      </x:c>
    </x:row>
    <x:row r="24" ht="19" customHeight="1">
      <x:c r="A24" s="308" t="str">
        <x:v>Board/ExCo KPIs, heatmap, trends and priority actions.</x:v>
      </x:c>
      <x:c r="B24" s="308" t="str">
        <x:v>Board/ExCo KPIs, heatmap, trends and priority actions.</x:v>
      </x:c>
      <x:c r="C24" s="308" t="str">
        <x:v>Board/ExCo KPIs, heatmap, trends and priority actions.</x:v>
      </x:c>
      <x:c r="D24" s="308" t="str">
        <x:v>Board/ExCo KPIs, heatmap, trends and priority actions.</x:v>
      </x:c>
      <x:c r="F24" s="308" t="str">
        <x:v>Auditable chart drivers and sanitised BI starter data.</x:v>
      </x:c>
      <x:c r="G24" s="308" t="str">
        <x:v>Auditable chart drivers and sanitised BI starter data.</x:v>
      </x:c>
      <x:c r="H24" s="308" t="str">
        <x:v>Auditable chart drivers and sanitised BI starter data.</x:v>
      </x:c>
      <x:c r="I24" s="308" t="str">
        <x:v>Auditable chart drivers and sanitised BI starter data.</x:v>
      </x:c>
    </x:row>
    <x:row r="25" ht="19" customHeight="1"/>
    <x:row r="26" ht="19" customHeight="1">
      <x:c r="A26" s="306" t="str">
        <x:v>ICS Source Assessment</x:v>
      </x:c>
      <x:c r="B26" s="306" t="str">
        <x:v>ICS Source Assessment</x:v>
      </x:c>
      <x:c r="C26" s="306" t="str">
        <x:v>ICS Source Assessment</x:v>
      </x:c>
      <x:c r="D26" s="306" t="str">
        <x:v>ICS Source Assessment</x:v>
      </x:c>
      <x:c r="F26" s="306" t="str">
        <x:v>ICS Peer Comparison</x:v>
      </x:c>
      <x:c r="G26" s="306" t="str">
        <x:v>ICS Peer Comparison</x:v>
      </x:c>
      <x:c r="H26" s="306" t="str">
        <x:v>ICS Peer Comparison</x:v>
      </x:c>
      <x:c r="I26" s="306" t="str">
        <x:v>ICS Peer Comparison</x:v>
      </x:c>
    </x:row>
    <x:row r="27" ht="19" customHeight="1">
      <x:c r="A27" s="308" t="str">
        <x:v>Generic financial and qualitative source assessment feeding the ICS view.</x:v>
      </x:c>
      <x:c r="B27" s="308" t="str">
        <x:v>Generic financial and qualitative source assessment feeding the ICS view.</x:v>
      </x:c>
      <x:c r="C27" s="308" t="str">
        <x:v>Generic financial and qualitative source assessment feeding the ICS view.</x:v>
      </x:c>
      <x:c r="D27" s="308" t="str">
        <x:v>Generic financial and qualitative source assessment feeding the ICS view.</x:v>
      </x:c>
      <x:c r="E27"/>
      <x:c r="F27" s="308" t="str">
        <x:v>Generic Entity A–D source comparison and score aggregation.</x:v>
      </x:c>
      <x:c r="G27" s="308" t="str">
        <x:v>Generic Entity A–D source comparison and score aggregation.</x:v>
      </x:c>
      <x:c r="H27" s="308" t="str">
        <x:v>Generic Entity A–D source comparison and score aggregation.</x:v>
      </x:c>
      <x:c r="I27" s="308" t="str">
        <x:v>Generic Entity A–D source comparison and score aggregation.</x:v>
      </x:c>
      <x:c r="J27" s="85"/>
    </x:row>
    <x:row r="28" ht="19" customHeight="1">
      <x:c r="A28"/>
      <x:c r="B28"/>
      <x:c r="C28"/>
      <x:c r="D28"/>
      <x:c r="E28"/>
      <x:c r="F28"/>
      <x:c r="G28"/>
      <x:c r="H28"/>
      <x:c r="I28"/>
      <x:c r="J28" s="88"/>
    </x:row>
    <x:row r="29" ht="19" customHeight="1">
      <x:c r="A29" s="306" t="str">
        <x:v>ICS Dashboard</x:v>
      </x:c>
      <x:c r="B29" s="306" t="str">
        <x:v>ICS Dashboard</x:v>
      </x:c>
      <x:c r="C29" s="306" t="str">
        <x:v>ICS Dashboard</x:v>
      </x:c>
      <x:c r="D29" s="306" t="str">
        <x:v>ICS Dashboard</x:v>
      </x:c>
      <x:c r="E29"/>
      <x:c r="F29" s="306" t="str">
        <x:v>Checks &amp; external BI downloads</x:v>
      </x:c>
      <x:c r="G29" s="306" t="str">
        <x:v>Checks &amp; external BI downloads</x:v>
      </x:c>
      <x:c r="H29" s="306" t="str">
        <x:v>Checks &amp; external BI downloads</x:v>
      </x:c>
      <x:c r="I29" s="306" t="str">
        <x:v>Checks &amp; external BI downloads</x:v>
      </x:c>
      <x:c r="J29" s="91"/>
    </x:row>
    <x:row r="30" ht="19" customHeight="1">
      <x:c r="A30" s="308" t="str">
        <x:v>Interactive 1–10 score, scenario, override, ratio profile and data-quality controls.</x:v>
      </x:c>
      <x:c r="B30" s="308" t="str">
        <x:v>Interactive 1–10 score, scenario, override, ratio profile and data-quality controls.</x:v>
      </x:c>
      <x:c r="C30" s="308" t="str">
        <x:v>Interactive 1–10 score, scenario, override, ratio profile and data-quality controls.</x:v>
      </x:c>
      <x:c r="D30" s="308" t="str">
        <x:v>Interactive 1–10 score, scenario, override, ratio profile and data-quality controls.</x:v>
      </x:c>
      <x:c r="F30" s="308" t="str">
        <x:v>Formula controls plus Power BI PBIP and Tableau TWBX starter projects.</x:v>
      </x:c>
      <x:c r="G30" s="308" t="str">
        <x:v>Formula controls plus Power BI PBIP and Tableau TWBX starter projects.</x:v>
      </x:c>
      <x:c r="H30" s="308" t="str">
        <x:v>Formula controls plus Power BI PBIP and Tableau TWBX starter projects.</x:v>
      </x:c>
      <x:c r="I30" s="308" t="str">
        <x:v>Formula controls plus Power BI PBIP and Tableau TWBX starter projects.</x:v>
      </x:c>
    </x:row>
    <x:row r="31" ht="19" customHeight="1">
      <x:c r="A31"/>
      <x:c r="B31"/>
      <x:c r="C31"/>
      <x:c r="D31"/>
      <x:c r="E31"/>
      <x:c r="F31"/>
      <x:c r="G31"/>
      <x:c r="H31"/>
      <x:c r="I31"/>
      <x:c r="J31" s="93"/>
    </x:row>
    <x:row r="32" ht="19" customHeight="1">
      <x:c r="A32" s="329" t="str">
        <x:v>Sanitisation note: The counterparty examples use only generic Entity A–D labels and invented numbers. No entity names, logos, scores, financials or other confidential details from the supplied ICS reference documents have been reproduced.</x:v>
      </x:c>
      <x:c r="B32" s="330" t="str">
        <x:v>Sanitisation note: The counterparty examples use only generic Entity A–D labels and invented numbers. No entity names, logos, scores, financials or other confidential details from the supplied ICS reference documents have been reproduced.</x:v>
      </x:c>
      <x:c r="C32" s="330" t="str">
        <x:v>Sanitisation note: The counterparty examples use only generic Entity A–D labels and invented numbers. No entity names, logos, scores, financials or other confidential details from the supplied ICS reference documents have been reproduced.</x:v>
      </x:c>
      <x:c r="D32" s="330" t="str">
        <x:v>Sanitisation note: The counterparty examples use only generic Entity A–D labels and invented numbers. No entity names, logos, scores, financials or other confidential details from the supplied ICS reference documents have been reproduced.</x:v>
      </x:c>
      <x:c r="E32" s="330" t="str">
        <x:v>Sanitisation note: The counterparty examples use only generic Entity A–D labels and invented numbers. No entity names, logos, scores, financials or other confidential details from the supplied ICS reference documents have been reproduced.</x:v>
      </x:c>
      <x:c r="F32" s="330" t="str">
        <x:v>Sanitisation note: The counterparty examples use only generic Entity A–D labels and invented numbers. No entity names, logos, scores, financials or other confidential details from the supplied ICS reference documents have been reproduced.</x:v>
      </x:c>
      <x:c r="G32" s="330" t="str">
        <x:v>Sanitisation note: The counterparty examples use only generic Entity A–D labels and invented numbers. No entity names, logos, scores, financials or other confidential details from the supplied ICS reference documents have been reproduced.</x:v>
      </x:c>
      <x:c r="H32" s="330" t="str">
        <x:v>Sanitisation note: The counterparty examples use only generic Entity A–D labels and invented numbers. No entity names, logos, scores, financials or other confidential details from the supplied ICS reference documents have been reproduced.</x:v>
      </x:c>
      <x:c r="I32" s="331" t="str">
        <x:v>Sanitisation note: The counterparty examples use only generic Entity A–D labels and invented numbers. No entity names, logos, scores, financials or other confidential details from the supplied ICS reference documents have been reproduced.</x:v>
      </x:c>
    </x:row>
    <x:row r="33" ht="19" customHeight="1">
      <x:c r="A33" s="332" t="str">
        <x:v>Sanitisation note: The counterparty examples use only generic Entity A–D labels and invented numbers. No entity names, logos, scores, financials or other confidential details from the supplied ICS reference documents have been reproduced.</x:v>
      </x:c>
      <x:c r="B33" s="333" t="str">
        <x:v>Sanitisation note: The counterparty examples use only generic Entity A–D labels and invented numbers. No entity names, logos, scores, financials or other confidential details from the supplied ICS reference documents have been reproduced.</x:v>
      </x:c>
      <x:c r="C33" s="333" t="str">
        <x:v>Sanitisation note: The counterparty examples use only generic Entity A–D labels and invented numbers. No entity names, logos, scores, financials or other confidential details from the supplied ICS reference documents have been reproduced.</x:v>
      </x:c>
      <x:c r="D33" s="333" t="str">
        <x:v>Sanitisation note: The counterparty examples use only generic Entity A–D labels and invented numbers. No entity names, logos, scores, financials or other confidential details from the supplied ICS reference documents have been reproduced.</x:v>
      </x:c>
      <x:c r="E33" s="333" t="str">
        <x:v>Sanitisation note: The counterparty examples use only generic Entity A–D labels and invented numbers. No entity names, logos, scores, financials or other confidential details from the supplied ICS reference documents have been reproduced.</x:v>
      </x:c>
      <x:c r="F33" s="333" t="str">
        <x:v>Sanitisation note: The counterparty examples use only generic Entity A–D labels and invented numbers. No entity names, logos, scores, financials or other confidential details from the supplied ICS reference documents have been reproduced.</x:v>
      </x:c>
      <x:c r="G33" s="333" t="str">
        <x:v>Sanitisation note: The counterparty examples use only generic Entity A–D labels and invented numbers. No entity names, logos, scores, financials or other confidential details from the supplied ICS reference documents have been reproduced.</x:v>
      </x:c>
      <x:c r="H33" s="333" t="str">
        <x:v>Sanitisation note: The counterparty examples use only generic Entity A–D labels and invented numbers. No entity names, logos, scores, financials or other confidential details from the supplied ICS reference documents have been reproduced.</x:v>
      </x:c>
      <x:c r="I33" s="334" t="str">
        <x:v>Sanitisation note: The counterparty examples use only generic Entity A–D labels and invented numbers. No entity names, logos, scores, financials or other confidential details from the supplied ICS reference documents have been reproduced.</x:v>
      </x:c>
    </x:row>
    <x:row r="34" ht="19" customHeight="1">
      <x:c r="A34" s="335" t="str">
        <x:v>Sanitisation note: The counterparty examples use only generic Entity A–D labels and invented numbers. No entity names, logos, scores, financials or other confidential details from the supplied ICS reference documents have been reproduced.</x:v>
      </x:c>
      <x:c r="B34" s="336" t="str">
        <x:v>Sanitisation note: The counterparty examples use only generic Entity A–D labels and invented numbers. No entity names, logos, scores, financials or other confidential details from the supplied ICS reference documents have been reproduced.</x:v>
      </x:c>
      <x:c r="C34" s="336" t="str">
        <x:v>Sanitisation note: The counterparty examples use only generic Entity A–D labels and invented numbers. No entity names, logos, scores, financials or other confidential details from the supplied ICS reference documents have been reproduced.</x:v>
      </x:c>
      <x:c r="D34" s="336" t="str">
        <x:v>Sanitisation note: The counterparty examples use only generic Entity A–D labels and invented numbers. No entity names, logos, scores, financials or other confidential details from the supplied ICS reference documents have been reproduced.</x:v>
      </x:c>
      <x:c r="E34" s="336" t="str">
        <x:v>Sanitisation note: The counterparty examples use only generic Entity A–D labels and invented numbers. No entity names, logos, scores, financials or other confidential details from the supplied ICS reference documents have been reproduced.</x:v>
      </x:c>
      <x:c r="F34" s="336" t="str">
        <x:v>Sanitisation note: The counterparty examples use only generic Entity A–D labels and invented numbers. No entity names, logos, scores, financials or other confidential details from the supplied ICS reference documents have been reproduced.</x:v>
      </x:c>
      <x:c r="G34" s="336" t="str">
        <x:v>Sanitisation note: The counterparty examples use only generic Entity A–D labels and invented numbers. No entity names, logos, scores, financials or other confidential details from the supplied ICS reference documents have been reproduced.</x:v>
      </x:c>
      <x:c r="H34" s="336" t="str">
        <x:v>Sanitisation note: The counterparty examples use only generic Entity A–D labels and invented numbers. No entity names, logos, scores, financials or other confidential details from the supplied ICS reference documents have been reproduced.</x:v>
      </x:c>
      <x:c r="I34" s="337" t="str">
        <x:v>Sanitisation note: The counterparty examples use only generic Entity A–D labels and invented numbers. No entity names, logos, scores, financials or other confidential details from the supplied ICS reference documents have been reproduced.</x:v>
      </x:c>
    </x:row>
    <x:row r="35" ht="19" customHeight="1"/>
    <x:row r="36" ht="19" customHeight="1">
      <x:c r="A36" s="339" t="str">
        <x:v>Important: Generic examples only; not legal, regulatory, accounting, investment or financial advice. Validate metrics, data lineage, governance, thresholds and reporting requirements for your own permissions, jurisdictions and business model.</x:v>
      </x:c>
      <x:c r="B36" s="339" t="str">
        <x:v>Important: Generic examples only; not legal, regulatory, accounting, investment or financial advice. Validate metrics, data lineage, governance, thresholds and reporting requirements for your own permissions, jurisdictions and business model.</x:v>
      </x:c>
      <x:c r="C36" s="339" t="str">
        <x:v>Important: Generic examples only; not legal, regulatory, accounting, investment or financial advice. Validate metrics, data lineage, governance, thresholds and reporting requirements for your own permissions, jurisdictions and business model.</x:v>
      </x:c>
      <x:c r="D36" s="339" t="str">
        <x:v>Important: Generic examples only; not legal, regulatory, accounting, investment or financial advice. Validate metrics, data lineage, governance, thresholds and reporting requirements for your own permissions, jurisdictions and business model.</x:v>
      </x:c>
      <x:c r="E36" s="339" t="str">
        <x:v>Important: Generic examples only; not legal, regulatory, accounting, investment or financial advice. Validate metrics, data lineage, governance, thresholds and reporting requirements for your own permissions, jurisdictions and business model.</x:v>
      </x:c>
      <x:c r="F36" s="339" t="str">
        <x:v>Important: Generic examples only; not legal, regulatory, accounting, investment or financial advice. Validate metrics, data lineage, governance, thresholds and reporting requirements for your own permissions, jurisdictions and business model.</x:v>
      </x:c>
      <x:c r="G36" s="339" t="str">
        <x:v>Important: Generic examples only; not legal, regulatory, accounting, investment or financial advice. Validate metrics, data lineage, governance, thresholds and reporting requirements for your own permissions, jurisdictions and business model.</x:v>
      </x:c>
      <x:c r="H36" s="339" t="str">
        <x:v>Important: Generic examples only; not legal, regulatory, accounting, investment or financial advice. Validate metrics, data lineage, governance, thresholds and reporting requirements for your own permissions, jurisdictions and business model.</x:v>
      </x:c>
      <x:c r="I36" s="339" t="str">
        <x:v>Important: Generic examples only; not legal, regulatory, accounting, investment or financial advice. Validate metrics, data lineage, governance, thresholds and reporting requirements for your own permissions, jurisdictions and business model.</x:v>
      </x:c>
    </x:row>
    <x:row r="37" ht="19" customHeight="1">
      <x:c r="A37" s="339" t="str">
        <x:v>Important: Generic examples only; not legal, regulatory, accounting, investment or financial advice. Validate metrics, data lineage, governance, thresholds and reporting requirements for your own permissions, jurisdictions and business model.</x:v>
      </x:c>
      <x:c r="B37" s="339" t="str">
        <x:v>Important: Generic examples only; not legal, regulatory, accounting, investment or financial advice. Validate metrics, data lineage, governance, thresholds and reporting requirements for your own permissions, jurisdictions and business model.</x:v>
      </x:c>
      <x:c r="C37" s="339" t="str">
        <x:v>Important: Generic examples only; not legal, regulatory, accounting, investment or financial advice. Validate metrics, data lineage, governance, thresholds and reporting requirements for your own permissions, jurisdictions and business model.</x:v>
      </x:c>
      <x:c r="D37" s="339" t="str">
        <x:v>Important: Generic examples only; not legal, regulatory, accounting, investment or financial advice. Validate metrics, data lineage, governance, thresholds and reporting requirements for your own permissions, jurisdictions and business model.</x:v>
      </x:c>
      <x:c r="E37" s="339" t="str">
        <x:v>Important: Generic examples only; not legal, regulatory, accounting, investment or financial advice. Validate metrics, data lineage, governance, thresholds and reporting requirements for your own permissions, jurisdictions and business model.</x:v>
      </x:c>
      <x:c r="F37" s="339" t="str">
        <x:v>Important: Generic examples only; not legal, regulatory, accounting, investment or financial advice. Validate metrics, data lineage, governance, thresholds and reporting requirements for your own permissions, jurisdictions and business model.</x:v>
      </x:c>
      <x:c r="G37" s="339" t="str">
        <x:v>Important: Generic examples only; not legal, regulatory, accounting, investment or financial advice. Validate metrics, data lineage, governance, thresholds and reporting requirements for your own permissions, jurisdictions and business model.</x:v>
      </x:c>
      <x:c r="H37" s="339" t="str">
        <x:v>Important: Generic examples only; not legal, regulatory, accounting, investment or financial advice. Validate metrics, data lineage, governance, thresholds and reporting requirements for your own permissions, jurisdictions and business model.</x:v>
      </x:c>
      <x:c r="I37" s="339" t="str">
        <x:v>Important: Generic examples only; not legal, regulatory, accounting, investment or financial advice. Validate metrics, data lineage, governance, thresholds and reporting requirements for your own permissions, jurisdictions and business model.</x:v>
      </x:c>
    </x:row>
    <x:row r="38" ht="19" customHeight="1">
      <x:c r="A38" s="341" t="str">
        <x:v>Risk Consulting London Limited · riskconsultinglondon.co.uk · info@riskconsultinglondon.co.uk · 020 3732 6005</x:v>
      </x:c>
      <x:c r="B38" s="341" t="str">
        <x:v>Risk Consulting London Limited · riskconsultinglondon.co.uk · info@riskconsultinglondon.co.uk · 020 3732 6005</x:v>
      </x:c>
      <x:c r="C38" s="341" t="str">
        <x:v>Risk Consulting London Limited · riskconsultinglondon.co.uk · info@riskconsultinglondon.co.uk · 020 3732 6005</x:v>
      </x:c>
      <x:c r="D38" s="341" t="str">
        <x:v>Risk Consulting London Limited · riskconsultinglondon.co.uk · info@riskconsultinglondon.co.uk · 020 3732 6005</x:v>
      </x:c>
      <x:c r="E38" s="341" t="str">
        <x:v>Risk Consulting London Limited · riskconsultinglondon.co.uk · info@riskconsultinglondon.co.uk · 020 3732 6005</x:v>
      </x:c>
      <x:c r="F38" s="341" t="str">
        <x:v>Risk Consulting London Limited · riskconsultinglondon.co.uk · info@riskconsultinglondon.co.uk · 020 3732 6005</x:v>
      </x:c>
      <x:c r="G38" s="341" t="str">
        <x:v>Risk Consulting London Limited · riskconsultinglondon.co.uk · info@riskconsultinglondon.co.uk · 020 3732 6005</x:v>
      </x:c>
      <x:c r="H38" s="341" t="str">
        <x:v>Risk Consulting London Limited · riskconsultinglondon.co.uk · info@riskconsultinglondon.co.uk · 020 3732 6005</x:v>
      </x:c>
      <x:c r="I38" s="341" t="str">
        <x:v>Risk Consulting London Limited · riskconsultinglondon.co.uk · info@riskconsultinglondon.co.uk · 020 3732 6005</x:v>
      </x:c>
    </x:row>
  </x:sheetData>
  <x:mergeCells>
    <x:mergeCell ref="A1:I1"/>
    <x:mergeCell ref="A2:I2"/>
    <x:mergeCell ref="A4:F4"/>
    <x:mergeCell ref="A5:F10"/>
    <x:mergeCell ref="H4:I4"/>
    <x:mergeCell ref="A12:I12"/>
    <x:mergeCell ref="A14:D14"/>
    <x:mergeCell ref="A15:D15"/>
    <x:mergeCell ref="F14:I14"/>
    <x:mergeCell ref="F15:I15"/>
    <x:mergeCell ref="A17:D17"/>
    <x:mergeCell ref="A18:D18"/>
    <x:mergeCell ref="F17:I17"/>
    <x:mergeCell ref="F18:I18"/>
    <x:mergeCell ref="A20:D20"/>
    <x:mergeCell ref="A21:D21"/>
    <x:mergeCell ref="F20:I20"/>
    <x:mergeCell ref="F21:I21"/>
    <x:mergeCell ref="A23:D23"/>
    <x:mergeCell ref="A24:D24"/>
    <x:mergeCell ref="F23:I23"/>
    <x:mergeCell ref="F24:I24"/>
    <x:mergeCell ref="A26:D26"/>
    <x:mergeCell ref="A27:D27"/>
    <x:mergeCell ref="F26:I26"/>
    <x:mergeCell ref="F27:I27"/>
    <x:mergeCell ref="A29:D29"/>
    <x:mergeCell ref="A30:D30"/>
    <x:mergeCell ref="F29:I29"/>
    <x:mergeCell ref="F30:I30"/>
    <x:mergeCell ref="A32:I34"/>
    <x:mergeCell ref="A36:I37"/>
    <x:mergeCell ref="A38:I38"/>
  </x:mergeCells>
  <x:pageMargins left="0.7" right="0.7" top="0.75" bottom="0.75" header="0.3" footer="0.3"/>
  <x:drawing xmlns:r="http://schemas.openxmlformats.org/officeDocument/2006/relationships" r:id="R9cb7d32a5649448d"/>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6" hidden="0" customWidth="1"/>
    <x:col min="3" max="3" width="32" hidden="0" customWidth="1"/>
    <x:col min="4" max="4" width="28" hidden="0" customWidth="1"/>
    <x:col min="5" max="5" width="32" hidden="0" customWidth="1"/>
    <x:col min="6" max="6" width="20" hidden="0" customWidth="1"/>
    <x:col min="7" max="7" width="12" hidden="0" customWidth="1"/>
    <x:col min="8" max="8" width="12" hidden="0" customWidth="1"/>
    <x:col min="9" max="9" width="11" hidden="0" customWidth="1"/>
    <x:col min="10" max="10" width="34" hidden="0" customWidth="1"/>
    <x:col min="11" max="11" width="16" hidden="0" customWidth="1"/>
    <x:col min="12" max="12" width="12" hidden="0" customWidth="1"/>
    <x:col min="13" max="13" width="12" hidden="0" customWidth="1"/>
    <x:col min="14" max="14" width="11" hidden="0" customWidth="1"/>
    <x:col min="15" max="15" width="13" hidden="0" customWidth="1"/>
    <x:col min="16" max="16" width="32" hidden="0" customWidth="1"/>
    <x:col min="17" max="17" width="19" hidden="0" customWidth="1"/>
    <x:col min="18" max="18" width="13" hidden="0" customWidth="1"/>
    <x:col min="19" max="19" width="13" hidden="0" customWidth="1"/>
    <x:col min="20" max="20" width="25" hidden="0" customWidth="1"/>
    <x:col min="21" max="21" width="17" hidden="0" customWidth="1"/>
    <x:col min="22" max="22" width="13" hidden="0" customWidth="1"/>
    <x:col min="23" max="23" width="13" hidden="0" customWidth="1"/>
    <x:col min="24" max="24" width="12" hidden="0" customWidth="1"/>
  </x:cols>
  <x:sheetData>
    <x:row r="1" ht="34" customHeight="1">
      <x:c r="A1" s="3" t="str">
        <x:v>Enterprise Risk Register</x:v>
      </x:c>
      <x:c r="B1" s="3"/>
      <x:c r="C1" s="3"/>
      <x:c r="D1" s="3"/>
      <x:c r="E1" s="3"/>
      <x:c r="F1" s="3"/>
      <x:c r="G1" s="3"/>
      <x:c r="H1" s="3"/>
      <x:c r="I1" s="3"/>
      <x:c r="J1" s="3"/>
      <x:c r="K1" s="3"/>
      <x:c r="L1" s="3"/>
      <x:c r="M1" s="3"/>
      <x:c r="N1" s="3"/>
      <x:c r="O1" s="3"/>
      <x:c r="P1" s="3"/>
      <x:c r="Q1" s="3"/>
      <x:c r="R1" s="3"/>
      <x:c r="S1" s="3"/>
      <x:c r="T1" s="3"/>
      <x:c r="U1" s="3"/>
      <x:c r="V1" s="3"/>
      <x:c r="W1" s="3"/>
      <x:c r="X1" s="3"/>
    </x:row>
    <x:row r="2" ht="30" customHeight="1">
      <x:c r="A2" s="7" t="str">
        <x:v>Sample data is illustrative. Blue text is editable; residual scores and escalation are formula-driven.</x:v>
      </x:c>
      <x:c r="B2" s="7"/>
      <x:c r="C2" s="7"/>
      <x:c r="D2" s="7"/>
      <x:c r="E2" s="7"/>
      <x:c r="F2" s="7"/>
      <x:c r="G2" s="7"/>
      <x:c r="H2" s="7"/>
      <x:c r="I2" s="7"/>
      <x:c r="J2" s="7"/>
      <x:c r="K2" s="7"/>
      <x:c r="L2" s="7"/>
      <x:c r="M2" s="7"/>
      <x:c r="N2" s="7"/>
      <x:c r="O2" s="7"/>
      <x:c r="P2" s="7"/>
      <x:c r="Q2" s="7"/>
      <x:c r="R2" s="7"/>
      <x:c r="S2" s="7"/>
      <x:c r="T2" s="7"/>
      <x:c r="U2" s="7"/>
      <x:c r="V2" s="7"/>
      <x:c r="W2" s="7"/>
      <x:c r="X2" s="7"/>
    </x:row>
    <x:row r="4">
      <x:c r="A4" s="108" t="str">
        <x:v>Open risks</x:v>
      </x:c>
      <x:c r="B4" s="109"/>
      <x:c r="C4" s="109"/>
      <x:c r="D4" s="110"/>
      <x:c r="F4" s="108" t="str">
        <x:v>High residual risks</x:v>
      </x:c>
      <x:c r="G4" s="109"/>
      <x:c r="H4" s="109"/>
      <x:c r="I4" s="110"/>
      <x:c r="K4" s="108" t="str">
        <x:v>Appetite breaches</x:v>
      </x:c>
      <x:c r="L4" s="109"/>
      <x:c r="M4" s="109"/>
      <x:c r="N4" s="110"/>
      <x:c r="P4" s="108" t="str">
        <x:v>Escalations</x:v>
      </x:c>
      <x:c r="Q4" s="109"/>
      <x:c r="R4" s="109"/>
      <x:c r="S4" s="110"/>
    </x:row>
    <x:row r="5">
      <x:c r="A5" s="114" t="n">
        <x:f>COUNTIFS(A8:A57,"&lt;&gt;",S8:S57,"&lt;&gt;Closed")</x:f>
        <x:v>5</x:v>
      </x:c>
      <x:c r="B5" s="115"/>
      <x:c r="C5" s="115"/>
      <x:c r="D5" s="116"/>
      <x:c r="E5" s="117"/>
      <x:c r="F5" s="114" t="n">
        <x:f>COUNTIF(N8:N57,"&gt;=15")</x:f>
        <x:v>1</x:v>
      </x:c>
      <x:c r="G5" s="115"/>
      <x:c r="H5" s="115"/>
      <x:c r="I5" s="116"/>
      <x:c r="J5" s="117"/>
      <x:c r="K5" s="114" t="n">
        <x:f>COUNTIF(O8:O57,"Breached")</x:f>
        <x:v>1</x:v>
      </x:c>
      <x:c r="L5" s="115"/>
      <x:c r="M5" s="115"/>
      <x:c r="N5" s="116"/>
      <x:c r="O5" s="117"/>
      <x:c r="P5" s="114" t="n">
        <x:f>COUNTIF(X8:X57,"YES")</x:f>
        <x:v>2</x:v>
      </x:c>
      <x:c r="Q5" s="115"/>
      <x:c r="R5" s="115"/>
      <x:c r="S5" s="116"/>
    </x:row>
    <x:row r="7" ht="32" customHeight="1">
      <x:c r="A7" s="126" t="str">
        <x:v>Risk ID</x:v>
      </x:c>
      <x:c r="B7" s="127" t="str">
        <x:v>Risk category</x:v>
      </x:c>
      <x:c r="C7" s="127" t="str">
        <x:v>Risk event</x:v>
      </x:c>
      <x:c r="D7" s="127" t="str">
        <x:v>Cause</x:v>
      </x:c>
      <x:c r="E7" s="127" t="str">
        <x:v>Potential consequence</x:v>
      </x:c>
      <x:c r="F7" s="127" t="str">
        <x:v>Risk owner</x:v>
      </x:c>
      <x:c r="G7" s="127" t="str">
        <x:v>Inherent likelihood (1–5)</x:v>
      </x:c>
      <x:c r="H7" s="127" t="str">
        <x:v>Inherent impact (1–5)</x:v>
      </x:c>
      <x:c r="I7" s="127" t="str">
        <x:v>Inherent score</x:v>
      </x:c>
      <x:c r="J7" s="127" t="str">
        <x:v>Key controls</x:v>
      </x:c>
      <x:c r="K7" s="127" t="str">
        <x:v>Control effectiveness</x:v>
      </x:c>
      <x:c r="L7" s="127" t="str">
        <x:v>Residual likelihood (1–5)</x:v>
      </x:c>
      <x:c r="M7" s="127" t="str">
        <x:v>Residual impact (1–5)</x:v>
      </x:c>
      <x:c r="N7" s="127" t="str">
        <x:v>Residual score</x:v>
      </x:c>
      <x:c r="O7" s="127" t="str">
        <x:v>Risk appetite</x:v>
      </x:c>
      <x:c r="P7" s="127" t="str">
        <x:v>Treatment / action</x:v>
      </x:c>
      <x:c r="Q7" s="127" t="str">
        <x:v>Action owner</x:v>
      </x:c>
      <x:c r="R7" s="127" t="str">
        <x:v>Due date</x:v>
      </x:c>
      <x:c r="S7" s="127" t="str">
        <x:v>Status</x:v>
      </x:c>
      <x:c r="T7" s="127" t="str">
        <x:v>Key risk indicator</x:v>
      </x:c>
      <x:c r="U7" s="127" t="str">
        <x:v>KRI threshold</x:v>
      </x:c>
      <x:c r="V7" s="127" t="str">
        <x:v>Last review</x:v>
      </x:c>
      <x:c r="W7" s="127" t="str">
        <x:v>Next review</x:v>
      </x:c>
      <x:c r="X7" s="128" t="str">
        <x:v>Escalation?</x:v>
      </x:c>
    </x:row>
    <x:row r="8">
      <x:c r="A8" s="139" t="str">
        <x:v>RR-001</x:v>
      </x:c>
      <x:c r="B8" s="139" t="str">
        <x:v>Liquidity</x:v>
      </x:c>
      <x:c r="C8" s="139" t="str">
        <x:v>Insufficient liquid resources during a severe but plausible stress</x:v>
      </x:c>
      <x:c r="D8" s="139" t="str">
        <x:v>Rapid client withdrawals and margin calls</x:v>
      </x:c>
      <x:c r="E8" s="139" t="str">
        <x:v>Breach of internal buffer or inability to meet obligations</x:v>
      </x:c>
      <x:c r="F8" s="139" t="str">
        <x:v>Head of Treasury</x:v>
      </x:c>
      <x:c r="G8" s="148" t="n">
        <x:v>4</x:v>
      </x:c>
      <x:c r="H8" s="148" t="n">
        <x:v>5</x:v>
      </x:c>
      <x:c r="I8" s="149" t="n">
        <x:f>IF(OR(G8="",H8=""),"",G8*H8)</x:f>
        <x:v>20</x:v>
      </x:c>
      <x:c r="J8" s="139" t="str">
        <x:v>Daily liquidity monitoring; diversified bank access; contingency funding plan</x:v>
      </x:c>
      <x:c r="K8" s="139" t="str">
        <x:v>Adequate</x:v>
      </x:c>
      <x:c r="L8" s="148" t="n">
        <x:v>3</x:v>
      </x:c>
      <x:c r="M8" s="148" t="n">
        <x:v>5</x:v>
      </x:c>
      <x:c r="N8" s="149" t="n">
        <x:f>IF(OR(L8="",M8=""),"",L8*M8)</x:f>
        <x:v>15</x:v>
      </x:c>
      <x:c r="O8" s="139" t="str">
        <x:v>Watch</x:v>
      </x:c>
      <x:c r="P8" s="139" t="str">
        <x:v>Increase committed funding diversification</x:v>
      </x:c>
      <x:c r="Q8" s="139" t="str">
        <x:v>Treasurer</x:v>
      </x:c>
      <x:c r="R8" s="154" t="n">
        <x:v>46326</x:v>
      </x:c>
      <x:c r="S8" s="139" t="str">
        <x:v>In progress</x:v>
      </x:c>
      <x:c r="T8" s="139" t="str">
        <x:v>Survival horizon (days)</x:v>
      </x:c>
      <x:c r="U8" s="139" t="str">
        <x:v>Below 45 days</x:v>
      </x:c>
      <x:c r="V8" s="154" t="n">
        <x:v>46254</x:v>
      </x:c>
      <x:c r="W8" s="154" t="n">
        <x:v>46285</x:v>
      </x:c>
      <x:c r="X8" s="145" t="str">
        <x:f>IF(A8="","",IF(OR(N8&gt;=15,O8="Breached",AND(R8&lt;TODAY(),S8&lt;&gt;"Closed")),"YES","NO"))</x:f>
        <x:v>YES</x:v>
      </x:c>
    </x:row>
    <x:row r="9">
      <x:c r="A9" s="140" t="str">
        <x:v>RR-002</x:v>
      </x:c>
      <x:c r="B9" s="140" t="str">
        <x:v>Credit</x:v>
      </x:c>
      <x:c r="C9" s="140" t="str">
        <x:v>Material counterparty default creates loss and replacement-cost exposure</x:v>
      </x:c>
      <x:c r="D9" s="140" t="str">
        <x:v>Concentration to a small number of brokers</x:v>
      </x:c>
      <x:c r="E9" s="140" t="str">
        <x:v>Loss, liquidity pressure and service disruption</x:v>
      </x:c>
      <x:c r="F9" s="140" t="str">
        <x:v>Head of Credit Risk</x:v>
      </x:c>
      <x:c r="G9" s="150" t="n">
        <x:v>3</x:v>
      </x:c>
      <x:c r="H9" s="150" t="n">
        <x:v>5</x:v>
      </x:c>
      <x:c r="I9" s="151" t="n">
        <x:f>IF(OR(G9="",H9=""),"",G9*H9)</x:f>
        <x:v>15</x:v>
      </x:c>
      <x:c r="J9" s="140" t="str">
        <x:v>Limits; collateral; daily exposure monitoring; watchlist</x:v>
      </x:c>
      <x:c r="K9" s="140" t="str">
        <x:v>Strong</x:v>
      </x:c>
      <x:c r="L9" s="150" t="n">
        <x:v>2</x:v>
      </x:c>
      <x:c r="M9" s="150" t="n">
        <x:v>4</x:v>
      </x:c>
      <x:c r="N9" s="151" t="n">
        <x:f>IF(OR(L9="",M9=""),"",L9*M9)</x:f>
        <x:v>8</x:v>
      </x:c>
      <x:c r="O9" s="140" t="str">
        <x:v>Within</x:v>
      </x:c>
      <x:c r="P9" s="140" t="str">
        <x:v>Complete annual limit review</x:v>
      </x:c>
      <x:c r="Q9" s="140" t="str">
        <x:v>Credit Risk Manager</x:v>
      </x:c>
      <x:c r="R9" s="155" t="n">
        <x:v>46295</x:v>
      </x:c>
      <x:c r="S9" s="140" t="str">
        <x:v>In progress</x:v>
      </x:c>
      <x:c r="T9" s="140" t="str">
        <x:v>Top-5 concentration</x:v>
      </x:c>
      <x:c r="U9" s="140" t="str">
        <x:v>Above 55%</x:v>
      </x:c>
      <x:c r="V9" s="155" t="n">
        <x:v>46249</x:v>
      </x:c>
      <x:c r="W9" s="155" t="n">
        <x:v>46280</x:v>
      </x:c>
      <x:c r="X9" s="146" t="str">
        <x:f>IF(A9="","",IF(OR(N9&gt;=15,O9="Breached",AND(R9&lt;TODAY(),S9&lt;&gt;"Closed")),"YES","NO"))</x:f>
        <x:v>NO</x:v>
      </x:c>
    </x:row>
    <x:row r="10">
      <x:c r="A10" s="140" t="str">
        <x:v>RR-003</x:v>
      </x:c>
      <x:c r="B10" s="140" t="str">
        <x:v>Operational</x:v>
      </x:c>
      <x:c r="C10" s="140" t="str">
        <x:v>Critical regulatory report is inaccurate or late</x:v>
      </x:c>
      <x:c r="D10" s="140" t="str">
        <x:v>Manual data mapping and weak reconciliation</x:v>
      </x:c>
      <x:c r="E10" s="140" t="str">
        <x:v>Regulatory breach, remediation cost and reputational damage</x:v>
      </x:c>
      <x:c r="F10" s="140" t="str">
        <x:v>COO</x:v>
      </x:c>
      <x:c r="G10" s="150" t="n">
        <x:v>4</x:v>
      </x:c>
      <x:c r="H10" s="150" t="n">
        <x:v>4</x:v>
      </x:c>
      <x:c r="I10" s="151" t="n">
        <x:f>IF(OR(G10="",H10=""),"",G10*H10)</x:f>
        <x:v>16</x:v>
      </x:c>
      <x:c r="J10" s="140" t="str">
        <x:v>Maker-checker; reconciliations; exception log; sign-off</x:v>
      </x:c>
      <x:c r="K10" s="140" t="str">
        <x:v>Weak</x:v>
      </x:c>
      <x:c r="L10" s="150" t="n">
        <x:v>3</x:v>
      </x:c>
      <x:c r="M10" s="150" t="n">
        <x:v>4</x:v>
      </x:c>
      <x:c r="N10" s="151" t="n">
        <x:f>IF(OR(L10="",M10=""),"",L10*M10)</x:f>
        <x:v>12</x:v>
      </x:c>
      <x:c r="O10" s="140" t="str">
        <x:v>Breached</x:v>
      </x:c>
      <x:c r="P10" s="140" t="str">
        <x:v>Automate source-to-report reconciliation</x:v>
      </x:c>
      <x:c r="Q10" s="140" t="str">
        <x:v>Regulatory Reporting Lead</x:v>
      </x:c>
      <x:c r="R10" s="155" t="n">
        <x:v>46280</x:v>
      </x:c>
      <x:c r="S10" s="140" t="str">
        <x:v>Open</x:v>
      </x:c>
      <x:c r="T10" s="140" t="str">
        <x:v>Unreconciled exceptions</x:v>
      </x:c>
      <x:c r="U10" s="140" t="str">
        <x:v>More than 5</x:v>
      </x:c>
      <x:c r="V10" s="155" t="n">
        <x:v>46256</x:v>
      </x:c>
      <x:c r="W10" s="155" t="n">
        <x:v>46270</x:v>
      </x:c>
      <x:c r="X10" s="146" t="str">
        <x:f>IF(A10="","",IF(OR(N10&gt;=15,O10="Breached",AND(R10&lt;TODAY(),S10&lt;&gt;"Closed")),"YES","NO"))</x:f>
        <x:v>YES</x:v>
      </x:c>
    </x:row>
    <x:row r="11">
      <x:c r="A11" s="140" t="str">
        <x:v>RR-004</x:v>
      </x:c>
      <x:c r="B11" s="140" t="str">
        <x:v>Technology</x:v>
      </x:c>
      <x:c r="C11" s="140" t="str">
        <x:v>Material outage affects client-facing and risk systems</x:v>
      </x:c>
      <x:c r="D11" s="140" t="str">
        <x:v>Third-party service failure</x:v>
      </x:c>
      <x:c r="E11" s="140" t="str">
        <x:v>Client detriment, missed controls and operational loss</x:v>
      </x:c>
      <x:c r="F11" s="140" t="str">
        <x:v>CTO</x:v>
      </x:c>
      <x:c r="G11" s="150" t="n">
        <x:v>3</x:v>
      </x:c>
      <x:c r="H11" s="150" t="n">
        <x:v>4</x:v>
      </x:c>
      <x:c r="I11" s="151" t="n">
        <x:f>IF(OR(G11="",H11=""),"",G11*H11)</x:f>
        <x:v>12</x:v>
      </x:c>
      <x:c r="J11" s="140" t="str">
        <x:v>Resilience testing; failover; incident response; vendor oversight</x:v>
      </x:c>
      <x:c r="K11" s="140" t="str">
        <x:v>Adequate</x:v>
      </x:c>
      <x:c r="L11" s="150" t="n">
        <x:v>2</x:v>
      </x:c>
      <x:c r="M11" s="150" t="n">
        <x:v>4</x:v>
      </x:c>
      <x:c r="N11" s="151" t="n">
        <x:f>IF(OR(L11="",M11=""),"",L11*M11)</x:f>
        <x:v>8</x:v>
      </x:c>
      <x:c r="O11" s="140" t="str">
        <x:v>Within</x:v>
      </x:c>
      <x:c r="P11" s="140" t="str">
        <x:v>Complete failover exercise</x:v>
      </x:c>
      <x:c r="Q11" s="140" t="str">
        <x:v>Technology Risk Lead</x:v>
      </x:c>
      <x:c r="R11" s="155" t="n">
        <x:v>46356</x:v>
      </x:c>
      <x:c r="S11" s="140" t="str">
        <x:v>Open</x:v>
      </x:c>
      <x:c r="T11" s="140" t="str">
        <x:v>Critical system availability</x:v>
      </x:c>
      <x:c r="U11" s="140" t="str">
        <x:v>Below 99.9%</x:v>
      </x:c>
      <x:c r="V11" s="155" t="n">
        <x:v>46244</x:v>
      </x:c>
      <x:c r="W11" s="155" t="n">
        <x:v>46275</x:v>
      </x:c>
      <x:c r="X11" s="146" t="str">
        <x:f>IF(A11="","",IF(OR(N11&gt;=15,O11="Breached",AND(R11&lt;TODAY(),S11&lt;&gt;"Closed")),"YES","NO"))</x:f>
        <x:v>NO</x:v>
      </x:c>
    </x:row>
    <x:row r="12">
      <x:c r="A12" s="140" t="str">
        <x:v>RR-005</x:v>
      </x:c>
      <x:c r="B12" s="140" t="str">
        <x:v>Conduct</x:v>
      </x:c>
      <x:c r="C12" s="140" t="str">
        <x:v>Product or service outcomes do not meet customer expectations</x:v>
      </x:c>
      <x:c r="D12" s="140" t="str">
        <x:v>Weak monitoring of target-market outcomes</x:v>
      </x:c>
      <x:c r="E12" s="140" t="str">
        <x:v>Customer harm, redress and regulatory action</x:v>
      </x:c>
      <x:c r="F12" s="140" t="str">
        <x:v>Chief Compliance Officer</x:v>
      </x:c>
      <x:c r="G12" s="150" t="n">
        <x:v>3</x:v>
      </x:c>
      <x:c r="H12" s="150" t="n">
        <x:v>4</x:v>
      </x:c>
      <x:c r="I12" s="151" t="n">
        <x:f>IF(OR(G12="",H12=""),"",G12*H12)</x:f>
        <x:v>12</x:v>
      </x:c>
      <x:c r="J12" s="140" t="str">
        <x:v>Product governance; complaints MI; outcome testing</x:v>
      </x:c>
      <x:c r="K12" s="140" t="str">
        <x:v>Adequate</x:v>
      </x:c>
      <x:c r="L12" s="150" t="n">
        <x:v>2</x:v>
      </x:c>
      <x:c r="M12" s="150" t="n">
        <x:v>4</x:v>
      </x:c>
      <x:c r="N12" s="151" t="n">
        <x:f>IF(OR(L12="",M12=""),"",L12*M12)</x:f>
        <x:v>8</x:v>
      </x:c>
      <x:c r="O12" s="140" t="str">
        <x:v>Watch</x:v>
      </x:c>
      <x:c r="P12" s="140" t="str">
        <x:v>Strengthen outcome-testing sample</x:v>
      </x:c>
      <x:c r="Q12" s="140" t="str">
        <x:v>Conduct Risk Lead</x:v>
      </x:c>
      <x:c r="R12" s="155" t="n">
        <x:v>46310</x:v>
      </x:c>
      <x:c r="S12" s="140" t="str">
        <x:v>In progress</x:v>
      </x:c>
      <x:c r="T12" s="140" t="str">
        <x:v>Upheld complaints rate</x:v>
      </x:c>
      <x:c r="U12" s="140" t="str">
        <x:v>Above 8%</x:v>
      </x:c>
      <x:c r="V12" s="155" t="n">
        <x:v>46252</x:v>
      </x:c>
      <x:c r="W12" s="155" t="n">
        <x:v>46283</x:v>
      </x:c>
      <x:c r="X12" s="146" t="str">
        <x:f>IF(A12="","",IF(OR(N12&gt;=15,O12="Breached",AND(R12&lt;TODAY(),S12&lt;&gt;"Closed")),"YES","NO"))</x:f>
        <x:v>NO</x:v>
      </x:c>
    </x:row>
    <x:row r="13">
      <x:c r="A13" s="140"/>
      <x:c r="B13" s="140"/>
      <x:c r="C13" s="140"/>
      <x:c r="D13" s="140"/>
      <x:c r="E13" s="140"/>
      <x:c r="F13" s="140"/>
      <x:c r="G13" s="150"/>
      <x:c r="H13" s="150"/>
      <x:c r="I13" s="151" t="str">
        <x:f>IF(OR(G13="",H13=""),"",G13*H13)</x:f>
      </x:c>
      <x:c r="J13" s="140"/>
      <x:c r="K13" s="140"/>
      <x:c r="L13" s="150"/>
      <x:c r="M13" s="150"/>
      <x:c r="N13" s="151" t="str">
        <x:f>IF(OR(L13="",M13=""),"",L13*M13)</x:f>
      </x:c>
      <x:c r="O13" s="140"/>
      <x:c r="P13" s="140"/>
      <x:c r="Q13" s="140"/>
      <x:c r="R13" s="155"/>
      <x:c r="S13" s="140"/>
      <x:c r="T13" s="140"/>
      <x:c r="U13" s="140"/>
      <x:c r="V13" s="155"/>
      <x:c r="W13" s="155"/>
      <x:c r="X13" s="146" t="str">
        <x:f>IF(A13="","",IF(OR(N13&gt;=15,O13="Breached",AND(R13&lt;TODAY(),S13&lt;&gt;"Closed")),"YES","NO"))</x:f>
      </x:c>
    </x:row>
    <x:row r="14">
      <x:c r="A14" s="140"/>
      <x:c r="B14" s="140"/>
      <x:c r="C14" s="140"/>
      <x:c r="D14" s="140"/>
      <x:c r="E14" s="140"/>
      <x:c r="F14" s="140"/>
      <x:c r="G14" s="150"/>
      <x:c r="H14" s="150"/>
      <x:c r="I14" s="151" t="str">
        <x:f>IF(OR(G14="",H14=""),"",G14*H14)</x:f>
      </x:c>
      <x:c r="J14" s="140"/>
      <x:c r="K14" s="140"/>
      <x:c r="L14" s="150"/>
      <x:c r="M14" s="150"/>
      <x:c r="N14" s="151" t="str">
        <x:f>IF(OR(L14="",M14=""),"",L14*M14)</x:f>
      </x:c>
      <x:c r="O14" s="140"/>
      <x:c r="P14" s="140"/>
      <x:c r="Q14" s="140"/>
      <x:c r="R14" s="155"/>
      <x:c r="S14" s="140"/>
      <x:c r="T14" s="140"/>
      <x:c r="U14" s="140"/>
      <x:c r="V14" s="155"/>
      <x:c r="W14" s="155"/>
      <x:c r="X14" s="146" t="str">
        <x:f>IF(A14="","",IF(OR(N14&gt;=15,O14="Breached",AND(R14&lt;TODAY(),S14&lt;&gt;"Closed")),"YES","NO"))</x:f>
      </x:c>
    </x:row>
    <x:row r="15">
      <x:c r="A15" s="140"/>
      <x:c r="B15" s="140"/>
      <x:c r="C15" s="140"/>
      <x:c r="D15" s="140"/>
      <x:c r="E15" s="140"/>
      <x:c r="F15" s="140"/>
      <x:c r="G15" s="150"/>
      <x:c r="H15" s="150"/>
      <x:c r="I15" s="151" t="str">
        <x:f>IF(OR(G15="",H15=""),"",G15*H15)</x:f>
      </x:c>
      <x:c r="J15" s="140"/>
      <x:c r="K15" s="140"/>
      <x:c r="L15" s="150"/>
      <x:c r="M15" s="150"/>
      <x:c r="N15" s="151" t="str">
        <x:f>IF(OR(L15="",M15=""),"",L15*M15)</x:f>
      </x:c>
      <x:c r="O15" s="140"/>
      <x:c r="P15" s="140"/>
      <x:c r="Q15" s="140"/>
      <x:c r="R15" s="155"/>
      <x:c r="S15" s="140"/>
      <x:c r="T15" s="140"/>
      <x:c r="U15" s="140"/>
      <x:c r="V15" s="155"/>
      <x:c r="W15" s="155"/>
      <x:c r="X15" s="146" t="str">
        <x:f>IF(A15="","",IF(OR(N15&gt;=15,O15="Breached",AND(R15&lt;TODAY(),S15&lt;&gt;"Closed")),"YES","NO"))</x:f>
      </x:c>
    </x:row>
    <x:row r="16">
      <x:c r="A16" s="140"/>
      <x:c r="B16" s="140"/>
      <x:c r="C16" s="140"/>
      <x:c r="D16" s="140"/>
      <x:c r="E16" s="140"/>
      <x:c r="F16" s="140"/>
      <x:c r="G16" s="150"/>
      <x:c r="H16" s="150"/>
      <x:c r="I16" s="151" t="str">
        <x:f>IF(OR(G16="",H16=""),"",G16*H16)</x:f>
      </x:c>
      <x:c r="J16" s="140"/>
      <x:c r="K16" s="140"/>
      <x:c r="L16" s="150"/>
      <x:c r="M16" s="150"/>
      <x:c r="N16" s="151" t="str">
        <x:f>IF(OR(L16="",M16=""),"",L16*M16)</x:f>
      </x:c>
      <x:c r="O16" s="140"/>
      <x:c r="P16" s="140"/>
      <x:c r="Q16" s="140"/>
      <x:c r="R16" s="155"/>
      <x:c r="S16" s="140"/>
      <x:c r="T16" s="140"/>
      <x:c r="U16" s="140"/>
      <x:c r="V16" s="155"/>
      <x:c r="W16" s="155"/>
      <x:c r="X16" s="146" t="str">
        <x:f>IF(A16="","",IF(OR(N16&gt;=15,O16="Breached",AND(R16&lt;TODAY(),S16&lt;&gt;"Closed")),"YES","NO"))</x:f>
      </x:c>
    </x:row>
    <x:row r="17">
      <x:c r="A17" s="140"/>
      <x:c r="B17" s="140"/>
      <x:c r="C17" s="140"/>
      <x:c r="D17" s="140"/>
      <x:c r="E17" s="140"/>
      <x:c r="F17" s="140"/>
      <x:c r="G17" s="150"/>
      <x:c r="H17" s="150"/>
      <x:c r="I17" s="151" t="str">
        <x:f>IF(OR(G17="",H17=""),"",G17*H17)</x:f>
      </x:c>
      <x:c r="J17" s="140"/>
      <x:c r="K17" s="140"/>
      <x:c r="L17" s="150"/>
      <x:c r="M17" s="150"/>
      <x:c r="N17" s="151" t="str">
        <x:f>IF(OR(L17="",M17=""),"",L17*M17)</x:f>
      </x:c>
      <x:c r="O17" s="140"/>
      <x:c r="P17" s="140"/>
      <x:c r="Q17" s="140"/>
      <x:c r="R17" s="155"/>
      <x:c r="S17" s="140"/>
      <x:c r="T17" s="140"/>
      <x:c r="U17" s="140"/>
      <x:c r="V17" s="155"/>
      <x:c r="W17" s="155"/>
      <x:c r="X17" s="146" t="str">
        <x:f>IF(A17="","",IF(OR(N17&gt;=15,O17="Breached",AND(R17&lt;TODAY(),S17&lt;&gt;"Closed")),"YES","NO"))</x:f>
      </x:c>
    </x:row>
    <x:row r="18">
      <x:c r="A18" s="140"/>
      <x:c r="B18" s="140"/>
      <x:c r="C18" s="140"/>
      <x:c r="D18" s="140"/>
      <x:c r="E18" s="140"/>
      <x:c r="F18" s="140"/>
      <x:c r="G18" s="150"/>
      <x:c r="H18" s="150"/>
      <x:c r="I18" s="151" t="str">
        <x:f>IF(OR(G18="",H18=""),"",G18*H18)</x:f>
      </x:c>
      <x:c r="J18" s="140"/>
      <x:c r="K18" s="140"/>
      <x:c r="L18" s="150"/>
      <x:c r="M18" s="150"/>
      <x:c r="N18" s="151" t="str">
        <x:f>IF(OR(L18="",M18=""),"",L18*M18)</x:f>
      </x:c>
      <x:c r="O18" s="140"/>
      <x:c r="P18" s="140"/>
      <x:c r="Q18" s="140"/>
      <x:c r="R18" s="155"/>
      <x:c r="S18" s="140"/>
      <x:c r="T18" s="140"/>
      <x:c r="U18" s="140"/>
      <x:c r="V18" s="155"/>
      <x:c r="W18" s="155"/>
      <x:c r="X18" s="146" t="str">
        <x:f>IF(A18="","",IF(OR(N18&gt;=15,O18="Breached",AND(R18&lt;TODAY(),S18&lt;&gt;"Closed")),"YES","NO"))</x:f>
      </x:c>
    </x:row>
    <x:row r="19">
      <x:c r="A19" s="140"/>
      <x:c r="B19" s="140"/>
      <x:c r="C19" s="140"/>
      <x:c r="D19" s="140"/>
      <x:c r="E19" s="140"/>
      <x:c r="F19" s="140"/>
      <x:c r="G19" s="150"/>
      <x:c r="H19" s="150"/>
      <x:c r="I19" s="151" t="str">
        <x:f>IF(OR(G19="",H19=""),"",G19*H19)</x:f>
      </x:c>
      <x:c r="J19" s="140"/>
      <x:c r="K19" s="140"/>
      <x:c r="L19" s="150"/>
      <x:c r="M19" s="150"/>
      <x:c r="N19" s="151" t="str">
        <x:f>IF(OR(L19="",M19=""),"",L19*M19)</x:f>
      </x:c>
      <x:c r="O19" s="140"/>
      <x:c r="P19" s="140"/>
      <x:c r="Q19" s="140"/>
      <x:c r="R19" s="155"/>
      <x:c r="S19" s="140"/>
      <x:c r="T19" s="140"/>
      <x:c r="U19" s="140"/>
      <x:c r="V19" s="155"/>
      <x:c r="W19" s="155"/>
      <x:c r="X19" s="146" t="str">
        <x:f>IF(A19="","",IF(OR(N19&gt;=15,O19="Breached",AND(R19&lt;TODAY(),S19&lt;&gt;"Closed")),"YES","NO"))</x:f>
      </x:c>
    </x:row>
    <x:row r="20">
      <x:c r="A20" s="140"/>
      <x:c r="B20" s="140"/>
      <x:c r="C20" s="140"/>
      <x:c r="D20" s="140"/>
      <x:c r="E20" s="140"/>
      <x:c r="F20" s="140"/>
      <x:c r="G20" s="150"/>
      <x:c r="H20" s="150"/>
      <x:c r="I20" s="151" t="str">
        <x:f>IF(OR(G20="",H20=""),"",G20*H20)</x:f>
      </x:c>
      <x:c r="J20" s="140"/>
      <x:c r="K20" s="140"/>
      <x:c r="L20" s="150"/>
      <x:c r="M20" s="150"/>
      <x:c r="N20" s="151" t="str">
        <x:f>IF(OR(L20="",M20=""),"",L20*M20)</x:f>
      </x:c>
      <x:c r="O20" s="140"/>
      <x:c r="P20" s="140"/>
      <x:c r="Q20" s="140"/>
      <x:c r="R20" s="155"/>
      <x:c r="S20" s="140"/>
      <x:c r="T20" s="140"/>
      <x:c r="U20" s="140"/>
      <x:c r="V20" s="155"/>
      <x:c r="W20" s="155"/>
      <x:c r="X20" s="146" t="str">
        <x:f>IF(A20="","",IF(OR(N20&gt;=15,O20="Breached",AND(R20&lt;TODAY(),S20&lt;&gt;"Closed")),"YES","NO"))</x:f>
      </x:c>
    </x:row>
    <x:row r="21">
      <x:c r="A21" s="140"/>
      <x:c r="B21" s="140"/>
      <x:c r="C21" s="140"/>
      <x:c r="D21" s="140"/>
      <x:c r="E21" s="140"/>
      <x:c r="F21" s="140"/>
      <x:c r="G21" s="150"/>
      <x:c r="H21" s="150"/>
      <x:c r="I21" s="151" t="str">
        <x:f>IF(OR(G21="",H21=""),"",G21*H21)</x:f>
      </x:c>
      <x:c r="J21" s="140"/>
      <x:c r="K21" s="140"/>
      <x:c r="L21" s="150"/>
      <x:c r="M21" s="150"/>
      <x:c r="N21" s="151" t="str">
        <x:f>IF(OR(L21="",M21=""),"",L21*M21)</x:f>
      </x:c>
      <x:c r="O21" s="140"/>
      <x:c r="P21" s="140"/>
      <x:c r="Q21" s="140"/>
      <x:c r="R21" s="155"/>
      <x:c r="S21" s="140"/>
      <x:c r="T21" s="140"/>
      <x:c r="U21" s="140"/>
      <x:c r="V21" s="155"/>
      <x:c r="W21" s="155"/>
      <x:c r="X21" s="146" t="str">
        <x:f>IF(A21="","",IF(OR(N21&gt;=15,O21="Breached",AND(R21&lt;TODAY(),S21&lt;&gt;"Closed")),"YES","NO"))</x:f>
      </x:c>
    </x:row>
    <x:row r="22">
      <x:c r="A22" s="140"/>
      <x:c r="B22" s="140"/>
      <x:c r="C22" s="140"/>
      <x:c r="D22" s="140"/>
      <x:c r="E22" s="140"/>
      <x:c r="F22" s="140"/>
      <x:c r="G22" s="150"/>
      <x:c r="H22" s="150"/>
      <x:c r="I22" s="151" t="str">
        <x:f>IF(OR(G22="",H22=""),"",G22*H22)</x:f>
      </x:c>
      <x:c r="J22" s="140"/>
      <x:c r="K22" s="140"/>
      <x:c r="L22" s="150"/>
      <x:c r="M22" s="150"/>
      <x:c r="N22" s="151" t="str">
        <x:f>IF(OR(L22="",M22=""),"",L22*M22)</x:f>
      </x:c>
      <x:c r="O22" s="140"/>
      <x:c r="P22" s="140"/>
      <x:c r="Q22" s="140"/>
      <x:c r="R22" s="155"/>
      <x:c r="S22" s="140"/>
      <x:c r="T22" s="140"/>
      <x:c r="U22" s="140"/>
      <x:c r="V22" s="155"/>
      <x:c r="W22" s="155"/>
      <x:c r="X22" s="146" t="str">
        <x:f>IF(A22="","",IF(OR(N22&gt;=15,O22="Breached",AND(R22&lt;TODAY(),S22&lt;&gt;"Closed")),"YES","NO"))</x:f>
      </x:c>
    </x:row>
    <x:row r="23">
      <x:c r="A23" s="140"/>
      <x:c r="B23" s="140"/>
      <x:c r="C23" s="140"/>
      <x:c r="D23" s="140"/>
      <x:c r="E23" s="140"/>
      <x:c r="F23" s="140"/>
      <x:c r="G23" s="150"/>
      <x:c r="H23" s="150"/>
      <x:c r="I23" s="151" t="str">
        <x:f>IF(OR(G23="",H23=""),"",G23*H23)</x:f>
      </x:c>
      <x:c r="J23" s="140"/>
      <x:c r="K23" s="140"/>
      <x:c r="L23" s="150"/>
      <x:c r="M23" s="150"/>
      <x:c r="N23" s="151" t="str">
        <x:f>IF(OR(L23="",M23=""),"",L23*M23)</x:f>
      </x:c>
      <x:c r="O23" s="140"/>
      <x:c r="P23" s="140"/>
      <x:c r="Q23" s="140"/>
      <x:c r="R23" s="155"/>
      <x:c r="S23" s="140"/>
      <x:c r="T23" s="140"/>
      <x:c r="U23" s="140"/>
      <x:c r="V23" s="155"/>
      <x:c r="W23" s="155"/>
      <x:c r="X23" s="146" t="str">
        <x:f>IF(A23="","",IF(OR(N23&gt;=15,O23="Breached",AND(R23&lt;TODAY(),S23&lt;&gt;"Closed")),"YES","NO"))</x:f>
      </x:c>
    </x:row>
    <x:row r="24">
      <x:c r="A24" s="140"/>
      <x:c r="B24" s="140"/>
      <x:c r="C24" s="140"/>
      <x:c r="D24" s="140"/>
      <x:c r="E24" s="140"/>
      <x:c r="F24" s="140"/>
      <x:c r="G24" s="150"/>
      <x:c r="H24" s="150"/>
      <x:c r="I24" s="151" t="str">
        <x:f>IF(OR(G24="",H24=""),"",G24*H24)</x:f>
      </x:c>
      <x:c r="J24" s="140"/>
      <x:c r="K24" s="140"/>
      <x:c r="L24" s="150"/>
      <x:c r="M24" s="150"/>
      <x:c r="N24" s="151" t="str">
        <x:f>IF(OR(L24="",M24=""),"",L24*M24)</x:f>
      </x:c>
      <x:c r="O24" s="140"/>
      <x:c r="P24" s="140"/>
      <x:c r="Q24" s="140"/>
      <x:c r="R24" s="155"/>
      <x:c r="S24" s="140"/>
      <x:c r="T24" s="140"/>
      <x:c r="U24" s="140"/>
      <x:c r="V24" s="155"/>
      <x:c r="W24" s="155"/>
      <x:c r="X24" s="146" t="str">
        <x:f>IF(A24="","",IF(OR(N24&gt;=15,O24="Breached",AND(R24&lt;TODAY(),S24&lt;&gt;"Closed")),"YES","NO"))</x:f>
      </x:c>
    </x:row>
    <x:row r="25">
      <x:c r="A25" s="140"/>
      <x:c r="B25" s="140"/>
      <x:c r="C25" s="140"/>
      <x:c r="D25" s="140"/>
      <x:c r="E25" s="140"/>
      <x:c r="F25" s="140"/>
      <x:c r="G25" s="150"/>
      <x:c r="H25" s="150"/>
      <x:c r="I25" s="151" t="str">
        <x:f>IF(OR(G25="",H25=""),"",G25*H25)</x:f>
      </x:c>
      <x:c r="J25" s="140"/>
      <x:c r="K25" s="140"/>
      <x:c r="L25" s="150"/>
      <x:c r="M25" s="150"/>
      <x:c r="N25" s="151" t="str">
        <x:f>IF(OR(L25="",M25=""),"",L25*M25)</x:f>
      </x:c>
      <x:c r="O25" s="140"/>
      <x:c r="P25" s="140"/>
      <x:c r="Q25" s="140"/>
      <x:c r="R25" s="155"/>
      <x:c r="S25" s="140"/>
      <x:c r="T25" s="140"/>
      <x:c r="U25" s="140"/>
      <x:c r="V25" s="155"/>
      <x:c r="W25" s="155"/>
      <x:c r="X25" s="146" t="str">
        <x:f>IF(A25="","",IF(OR(N25&gt;=15,O25="Breached",AND(R25&lt;TODAY(),S25&lt;&gt;"Closed")),"YES","NO"))</x:f>
      </x:c>
    </x:row>
    <x:row r="26">
      <x:c r="A26" s="140"/>
      <x:c r="B26" s="140"/>
      <x:c r="C26" s="140"/>
      <x:c r="D26" s="140"/>
      <x:c r="E26" s="140"/>
      <x:c r="F26" s="140"/>
      <x:c r="G26" s="150"/>
      <x:c r="H26" s="150"/>
      <x:c r="I26" s="151" t="str">
        <x:f>IF(OR(G26="",H26=""),"",G26*H26)</x:f>
      </x:c>
      <x:c r="J26" s="140"/>
      <x:c r="K26" s="140"/>
      <x:c r="L26" s="150"/>
      <x:c r="M26" s="150"/>
      <x:c r="N26" s="151" t="str">
        <x:f>IF(OR(L26="",M26=""),"",L26*M26)</x:f>
      </x:c>
      <x:c r="O26" s="140"/>
      <x:c r="P26" s="140"/>
      <x:c r="Q26" s="140"/>
      <x:c r="R26" s="155"/>
      <x:c r="S26" s="140"/>
      <x:c r="T26" s="140"/>
      <x:c r="U26" s="140"/>
      <x:c r="V26" s="155"/>
      <x:c r="W26" s="155"/>
      <x:c r="X26" s="146" t="str">
        <x:f>IF(A26="","",IF(OR(N26&gt;=15,O26="Breached",AND(R26&lt;TODAY(),S26&lt;&gt;"Closed")),"YES","NO"))</x:f>
      </x:c>
    </x:row>
    <x:row r="27">
      <x:c r="A27" s="140"/>
      <x:c r="B27" s="140"/>
      <x:c r="C27" s="140"/>
      <x:c r="D27" s="140"/>
      <x:c r="E27" s="140"/>
      <x:c r="F27" s="140"/>
      <x:c r="G27" s="150"/>
      <x:c r="H27" s="150"/>
      <x:c r="I27" s="151" t="str">
        <x:f>IF(OR(G27="",H27=""),"",G27*H27)</x:f>
      </x:c>
      <x:c r="J27" s="140"/>
      <x:c r="K27" s="140"/>
      <x:c r="L27" s="150"/>
      <x:c r="M27" s="150"/>
      <x:c r="N27" s="151" t="str">
        <x:f>IF(OR(L27="",M27=""),"",L27*M27)</x:f>
      </x:c>
      <x:c r="O27" s="140"/>
      <x:c r="P27" s="140"/>
      <x:c r="Q27" s="140"/>
      <x:c r="R27" s="155"/>
      <x:c r="S27" s="140"/>
      <x:c r="T27" s="140"/>
      <x:c r="U27" s="140"/>
      <x:c r="V27" s="155"/>
      <x:c r="W27" s="155"/>
      <x:c r="X27" s="146" t="str">
        <x:f>IF(A27="","",IF(OR(N27&gt;=15,O27="Breached",AND(R27&lt;TODAY(),S27&lt;&gt;"Closed")),"YES","NO"))</x:f>
      </x:c>
    </x:row>
    <x:row r="28">
      <x:c r="A28" s="140"/>
      <x:c r="B28" s="140"/>
      <x:c r="C28" s="140"/>
      <x:c r="D28" s="140"/>
      <x:c r="E28" s="140"/>
      <x:c r="F28" s="140"/>
      <x:c r="G28" s="150"/>
      <x:c r="H28" s="150"/>
      <x:c r="I28" s="151" t="str">
        <x:f>IF(OR(G28="",H28=""),"",G28*H28)</x:f>
      </x:c>
      <x:c r="J28" s="140"/>
      <x:c r="K28" s="140"/>
      <x:c r="L28" s="150"/>
      <x:c r="M28" s="150"/>
      <x:c r="N28" s="151" t="str">
        <x:f>IF(OR(L28="",M28=""),"",L28*M28)</x:f>
      </x:c>
      <x:c r="O28" s="140"/>
      <x:c r="P28" s="140"/>
      <x:c r="Q28" s="140"/>
      <x:c r="R28" s="155"/>
      <x:c r="S28" s="140"/>
      <x:c r="T28" s="140"/>
      <x:c r="U28" s="140"/>
      <x:c r="V28" s="155"/>
      <x:c r="W28" s="155"/>
      <x:c r="X28" s="146" t="str">
        <x:f>IF(A28="","",IF(OR(N28&gt;=15,O28="Breached",AND(R28&lt;TODAY(),S28&lt;&gt;"Closed")),"YES","NO"))</x:f>
      </x:c>
    </x:row>
    <x:row r="29">
      <x:c r="A29" s="140"/>
      <x:c r="B29" s="140"/>
      <x:c r="C29" s="140"/>
      <x:c r="D29" s="140"/>
      <x:c r="E29" s="140"/>
      <x:c r="F29" s="140"/>
      <x:c r="G29" s="150"/>
      <x:c r="H29" s="150"/>
      <x:c r="I29" s="151" t="str">
        <x:f>IF(OR(G29="",H29=""),"",G29*H29)</x:f>
      </x:c>
      <x:c r="J29" s="140"/>
      <x:c r="K29" s="140"/>
      <x:c r="L29" s="150"/>
      <x:c r="M29" s="150"/>
      <x:c r="N29" s="151" t="str">
        <x:f>IF(OR(L29="",M29=""),"",L29*M29)</x:f>
      </x:c>
      <x:c r="O29" s="140"/>
      <x:c r="P29" s="140"/>
      <x:c r="Q29" s="140"/>
      <x:c r="R29" s="155"/>
      <x:c r="S29" s="140"/>
      <x:c r="T29" s="140"/>
      <x:c r="U29" s="140"/>
      <x:c r="V29" s="155"/>
      <x:c r="W29" s="155"/>
      <x:c r="X29" s="146" t="str">
        <x:f>IF(A29="","",IF(OR(N29&gt;=15,O29="Breached",AND(R29&lt;TODAY(),S29&lt;&gt;"Closed")),"YES","NO"))</x:f>
      </x:c>
    </x:row>
    <x:row r="30">
      <x:c r="A30" s="140"/>
      <x:c r="B30" s="140"/>
      <x:c r="C30" s="140"/>
      <x:c r="D30" s="140"/>
      <x:c r="E30" s="140"/>
      <x:c r="F30" s="140"/>
      <x:c r="G30" s="150"/>
      <x:c r="H30" s="150"/>
      <x:c r="I30" s="151" t="str">
        <x:f>IF(OR(G30="",H30=""),"",G30*H30)</x:f>
      </x:c>
      <x:c r="J30" s="140"/>
      <x:c r="K30" s="140"/>
      <x:c r="L30" s="150"/>
      <x:c r="M30" s="150"/>
      <x:c r="N30" s="151" t="str">
        <x:f>IF(OR(L30="",M30=""),"",L30*M30)</x:f>
      </x:c>
      <x:c r="O30" s="140"/>
      <x:c r="P30" s="140"/>
      <x:c r="Q30" s="140"/>
      <x:c r="R30" s="155"/>
      <x:c r="S30" s="140"/>
      <x:c r="T30" s="140"/>
      <x:c r="U30" s="140"/>
      <x:c r="V30" s="155"/>
      <x:c r="W30" s="155"/>
      <x:c r="X30" s="146" t="str">
        <x:f>IF(A30="","",IF(OR(N30&gt;=15,O30="Breached",AND(R30&lt;TODAY(),S30&lt;&gt;"Closed")),"YES","NO"))</x:f>
      </x:c>
    </x:row>
    <x:row r="31">
      <x:c r="A31" s="140"/>
      <x:c r="B31" s="140"/>
      <x:c r="C31" s="140"/>
      <x:c r="D31" s="140"/>
      <x:c r="E31" s="140"/>
      <x:c r="F31" s="140"/>
      <x:c r="G31" s="150"/>
      <x:c r="H31" s="150"/>
      <x:c r="I31" s="151" t="str">
        <x:f>IF(OR(G31="",H31=""),"",G31*H31)</x:f>
      </x:c>
      <x:c r="J31" s="140"/>
      <x:c r="K31" s="140"/>
      <x:c r="L31" s="150"/>
      <x:c r="M31" s="150"/>
      <x:c r="N31" s="151" t="str">
        <x:f>IF(OR(L31="",M31=""),"",L31*M31)</x:f>
      </x:c>
      <x:c r="O31" s="140"/>
      <x:c r="P31" s="140"/>
      <x:c r="Q31" s="140"/>
      <x:c r="R31" s="155"/>
      <x:c r="S31" s="140"/>
      <x:c r="T31" s="140"/>
      <x:c r="U31" s="140"/>
      <x:c r="V31" s="155"/>
      <x:c r="W31" s="155"/>
      <x:c r="X31" s="146" t="str">
        <x:f>IF(A31="","",IF(OR(N31&gt;=15,O31="Breached",AND(R31&lt;TODAY(),S31&lt;&gt;"Closed")),"YES","NO"))</x:f>
      </x:c>
    </x:row>
    <x:row r="32">
      <x:c r="A32" s="140"/>
      <x:c r="B32" s="140"/>
      <x:c r="C32" s="140"/>
      <x:c r="D32" s="140"/>
      <x:c r="E32" s="140"/>
      <x:c r="F32" s="140"/>
      <x:c r="G32" s="150"/>
      <x:c r="H32" s="150"/>
      <x:c r="I32" s="151" t="str">
        <x:f>IF(OR(G32="",H32=""),"",G32*H32)</x:f>
      </x:c>
      <x:c r="J32" s="140"/>
      <x:c r="K32" s="140"/>
      <x:c r="L32" s="150"/>
      <x:c r="M32" s="150"/>
      <x:c r="N32" s="151" t="str">
        <x:f>IF(OR(L32="",M32=""),"",L32*M32)</x:f>
      </x:c>
      <x:c r="O32" s="140"/>
      <x:c r="P32" s="140"/>
      <x:c r="Q32" s="140"/>
      <x:c r="R32" s="155"/>
      <x:c r="S32" s="140"/>
      <x:c r="T32" s="140"/>
      <x:c r="U32" s="140"/>
      <x:c r="V32" s="155"/>
      <x:c r="W32" s="155"/>
      <x:c r="X32" s="146" t="str">
        <x:f>IF(A32="","",IF(OR(N32&gt;=15,O32="Breached",AND(R32&lt;TODAY(),S32&lt;&gt;"Closed")),"YES","NO"))</x:f>
      </x:c>
    </x:row>
    <x:row r="33">
      <x:c r="A33" s="140"/>
      <x:c r="B33" s="140"/>
      <x:c r="C33" s="140"/>
      <x:c r="D33" s="140"/>
      <x:c r="E33" s="140"/>
      <x:c r="F33" s="140"/>
      <x:c r="G33" s="150"/>
      <x:c r="H33" s="150"/>
      <x:c r="I33" s="151" t="str">
        <x:f>IF(OR(G33="",H33=""),"",G33*H33)</x:f>
      </x:c>
      <x:c r="J33" s="140"/>
      <x:c r="K33" s="140"/>
      <x:c r="L33" s="150"/>
      <x:c r="M33" s="150"/>
      <x:c r="N33" s="151" t="str">
        <x:f>IF(OR(L33="",M33=""),"",L33*M33)</x:f>
      </x:c>
      <x:c r="O33" s="140"/>
      <x:c r="P33" s="140"/>
      <x:c r="Q33" s="140"/>
      <x:c r="R33" s="155"/>
      <x:c r="S33" s="140"/>
      <x:c r="T33" s="140"/>
      <x:c r="U33" s="140"/>
      <x:c r="V33" s="155"/>
      <x:c r="W33" s="155"/>
      <x:c r="X33" s="146" t="str">
        <x:f>IF(A33="","",IF(OR(N33&gt;=15,O33="Breached",AND(R33&lt;TODAY(),S33&lt;&gt;"Closed")),"YES","NO"))</x:f>
      </x:c>
    </x:row>
    <x:row r="34">
      <x:c r="A34" s="140"/>
      <x:c r="B34" s="140"/>
      <x:c r="C34" s="140"/>
      <x:c r="D34" s="140"/>
      <x:c r="E34" s="140"/>
      <x:c r="F34" s="140"/>
      <x:c r="G34" s="150"/>
      <x:c r="H34" s="150"/>
      <x:c r="I34" s="151" t="str">
        <x:f>IF(OR(G34="",H34=""),"",G34*H34)</x:f>
      </x:c>
      <x:c r="J34" s="140"/>
      <x:c r="K34" s="140"/>
      <x:c r="L34" s="150"/>
      <x:c r="M34" s="150"/>
      <x:c r="N34" s="151" t="str">
        <x:f>IF(OR(L34="",M34=""),"",L34*M34)</x:f>
      </x:c>
      <x:c r="O34" s="140"/>
      <x:c r="P34" s="140"/>
      <x:c r="Q34" s="140"/>
      <x:c r="R34" s="155"/>
      <x:c r="S34" s="140"/>
      <x:c r="T34" s="140"/>
      <x:c r="U34" s="140"/>
      <x:c r="V34" s="155"/>
      <x:c r="W34" s="155"/>
      <x:c r="X34" s="146" t="str">
        <x:f>IF(A34="","",IF(OR(N34&gt;=15,O34="Breached",AND(R34&lt;TODAY(),S34&lt;&gt;"Closed")),"YES","NO"))</x:f>
      </x:c>
    </x:row>
    <x:row r="35">
      <x:c r="A35" s="140"/>
      <x:c r="B35" s="140"/>
      <x:c r="C35" s="140"/>
      <x:c r="D35" s="140"/>
      <x:c r="E35" s="140"/>
      <x:c r="F35" s="140"/>
      <x:c r="G35" s="150"/>
      <x:c r="H35" s="150"/>
      <x:c r="I35" s="151" t="str">
        <x:f>IF(OR(G35="",H35=""),"",G35*H35)</x:f>
      </x:c>
      <x:c r="J35" s="140"/>
      <x:c r="K35" s="140"/>
      <x:c r="L35" s="150"/>
      <x:c r="M35" s="150"/>
      <x:c r="N35" s="151" t="str">
        <x:f>IF(OR(L35="",M35=""),"",L35*M35)</x:f>
      </x:c>
      <x:c r="O35" s="140"/>
      <x:c r="P35" s="140"/>
      <x:c r="Q35" s="140"/>
      <x:c r="R35" s="155"/>
      <x:c r="S35" s="140"/>
      <x:c r="T35" s="140"/>
      <x:c r="U35" s="140"/>
      <x:c r="V35" s="155"/>
      <x:c r="W35" s="155"/>
      <x:c r="X35" s="146" t="str">
        <x:f>IF(A35="","",IF(OR(N35&gt;=15,O35="Breached",AND(R35&lt;TODAY(),S35&lt;&gt;"Closed")),"YES","NO"))</x:f>
      </x:c>
    </x:row>
    <x:row r="36">
      <x:c r="A36" s="140"/>
      <x:c r="B36" s="140"/>
      <x:c r="C36" s="140"/>
      <x:c r="D36" s="140"/>
      <x:c r="E36" s="140"/>
      <x:c r="F36" s="140"/>
      <x:c r="G36" s="150"/>
      <x:c r="H36" s="150"/>
      <x:c r="I36" s="151" t="str">
        <x:f>IF(OR(G36="",H36=""),"",G36*H36)</x:f>
      </x:c>
      <x:c r="J36" s="140"/>
      <x:c r="K36" s="140"/>
      <x:c r="L36" s="150"/>
      <x:c r="M36" s="150"/>
      <x:c r="N36" s="151" t="str">
        <x:f>IF(OR(L36="",M36=""),"",L36*M36)</x:f>
      </x:c>
      <x:c r="O36" s="140"/>
      <x:c r="P36" s="140"/>
      <x:c r="Q36" s="140"/>
      <x:c r="R36" s="155"/>
      <x:c r="S36" s="140"/>
      <x:c r="T36" s="140"/>
      <x:c r="U36" s="140"/>
      <x:c r="V36" s="155"/>
      <x:c r="W36" s="155"/>
      <x:c r="X36" s="146" t="str">
        <x:f>IF(A36="","",IF(OR(N36&gt;=15,O36="Breached",AND(R36&lt;TODAY(),S36&lt;&gt;"Closed")),"YES","NO"))</x:f>
      </x:c>
    </x:row>
    <x:row r="37">
      <x:c r="A37" s="140"/>
      <x:c r="B37" s="140"/>
      <x:c r="C37" s="140"/>
      <x:c r="D37" s="140"/>
      <x:c r="E37" s="140"/>
      <x:c r="F37" s="140"/>
      <x:c r="G37" s="150"/>
      <x:c r="H37" s="150"/>
      <x:c r="I37" s="151" t="str">
        <x:f>IF(OR(G37="",H37=""),"",G37*H37)</x:f>
      </x:c>
      <x:c r="J37" s="140"/>
      <x:c r="K37" s="140"/>
      <x:c r="L37" s="150"/>
      <x:c r="M37" s="150"/>
      <x:c r="N37" s="151" t="str">
        <x:f>IF(OR(L37="",M37=""),"",L37*M37)</x:f>
      </x:c>
      <x:c r="O37" s="140"/>
      <x:c r="P37" s="140"/>
      <x:c r="Q37" s="140"/>
      <x:c r="R37" s="155"/>
      <x:c r="S37" s="140"/>
      <x:c r="T37" s="140"/>
      <x:c r="U37" s="140"/>
      <x:c r="V37" s="155"/>
      <x:c r="W37" s="155"/>
      <x:c r="X37" s="146" t="str">
        <x:f>IF(A37="","",IF(OR(N37&gt;=15,O37="Breached",AND(R37&lt;TODAY(),S37&lt;&gt;"Closed")),"YES","NO"))</x:f>
      </x:c>
    </x:row>
    <x:row r="38">
      <x:c r="A38" s="140"/>
      <x:c r="B38" s="140"/>
      <x:c r="C38" s="140"/>
      <x:c r="D38" s="140"/>
      <x:c r="E38" s="140"/>
      <x:c r="F38" s="140"/>
      <x:c r="G38" s="150"/>
      <x:c r="H38" s="150"/>
      <x:c r="I38" s="151" t="str">
        <x:f>IF(OR(G38="",H38=""),"",G38*H38)</x:f>
      </x:c>
      <x:c r="J38" s="140"/>
      <x:c r="K38" s="140"/>
      <x:c r="L38" s="150"/>
      <x:c r="M38" s="150"/>
      <x:c r="N38" s="151" t="str">
        <x:f>IF(OR(L38="",M38=""),"",L38*M38)</x:f>
      </x:c>
      <x:c r="O38" s="140"/>
      <x:c r="P38" s="140"/>
      <x:c r="Q38" s="140"/>
      <x:c r="R38" s="155"/>
      <x:c r="S38" s="140"/>
      <x:c r="T38" s="140"/>
      <x:c r="U38" s="140"/>
      <x:c r="V38" s="155"/>
      <x:c r="W38" s="155"/>
      <x:c r="X38" s="146" t="str">
        <x:f>IF(A38="","",IF(OR(N38&gt;=15,O38="Breached",AND(R38&lt;TODAY(),S38&lt;&gt;"Closed")),"YES","NO"))</x:f>
      </x:c>
    </x:row>
    <x:row r="39">
      <x:c r="A39" s="140"/>
      <x:c r="B39" s="140"/>
      <x:c r="C39" s="140"/>
      <x:c r="D39" s="140"/>
      <x:c r="E39" s="140"/>
      <x:c r="F39" s="140"/>
      <x:c r="G39" s="150"/>
      <x:c r="H39" s="150"/>
      <x:c r="I39" s="151" t="str">
        <x:f>IF(OR(G39="",H39=""),"",G39*H39)</x:f>
      </x:c>
      <x:c r="J39" s="140"/>
      <x:c r="K39" s="140"/>
      <x:c r="L39" s="150"/>
      <x:c r="M39" s="150"/>
      <x:c r="N39" s="151" t="str">
        <x:f>IF(OR(L39="",M39=""),"",L39*M39)</x:f>
      </x:c>
      <x:c r="O39" s="140"/>
      <x:c r="P39" s="140"/>
      <x:c r="Q39" s="140"/>
      <x:c r="R39" s="155"/>
      <x:c r="S39" s="140"/>
      <x:c r="T39" s="140"/>
      <x:c r="U39" s="140"/>
      <x:c r="V39" s="155"/>
      <x:c r="W39" s="155"/>
      <x:c r="X39" s="146" t="str">
        <x:f>IF(A39="","",IF(OR(N39&gt;=15,O39="Breached",AND(R39&lt;TODAY(),S39&lt;&gt;"Closed")),"YES","NO"))</x:f>
      </x:c>
    </x:row>
    <x:row r="40">
      <x:c r="A40" s="140"/>
      <x:c r="B40" s="140"/>
      <x:c r="C40" s="140"/>
      <x:c r="D40" s="140"/>
      <x:c r="E40" s="140"/>
      <x:c r="F40" s="140"/>
      <x:c r="G40" s="150"/>
      <x:c r="H40" s="150"/>
      <x:c r="I40" s="151" t="str">
        <x:f>IF(OR(G40="",H40=""),"",G40*H40)</x:f>
      </x:c>
      <x:c r="J40" s="140"/>
      <x:c r="K40" s="140"/>
      <x:c r="L40" s="150"/>
      <x:c r="M40" s="150"/>
      <x:c r="N40" s="151" t="str">
        <x:f>IF(OR(L40="",M40=""),"",L40*M40)</x:f>
      </x:c>
      <x:c r="O40" s="140"/>
      <x:c r="P40" s="140"/>
      <x:c r="Q40" s="140"/>
      <x:c r="R40" s="155"/>
      <x:c r="S40" s="140"/>
      <x:c r="T40" s="140"/>
      <x:c r="U40" s="140"/>
      <x:c r="V40" s="155"/>
      <x:c r="W40" s="155"/>
      <x:c r="X40" s="146" t="str">
        <x:f>IF(A40="","",IF(OR(N40&gt;=15,O40="Breached",AND(R40&lt;TODAY(),S40&lt;&gt;"Closed")),"YES","NO"))</x:f>
      </x:c>
    </x:row>
    <x:row r="41">
      <x:c r="A41" s="140"/>
      <x:c r="B41" s="140"/>
      <x:c r="C41" s="140"/>
      <x:c r="D41" s="140"/>
      <x:c r="E41" s="140"/>
      <x:c r="F41" s="140"/>
      <x:c r="G41" s="150"/>
      <x:c r="H41" s="150"/>
      <x:c r="I41" s="151" t="str">
        <x:f>IF(OR(G41="",H41=""),"",G41*H41)</x:f>
      </x:c>
      <x:c r="J41" s="140"/>
      <x:c r="K41" s="140"/>
      <x:c r="L41" s="150"/>
      <x:c r="M41" s="150"/>
      <x:c r="N41" s="151" t="str">
        <x:f>IF(OR(L41="",M41=""),"",L41*M41)</x:f>
      </x:c>
      <x:c r="O41" s="140"/>
      <x:c r="P41" s="140"/>
      <x:c r="Q41" s="140"/>
      <x:c r="R41" s="155"/>
      <x:c r="S41" s="140"/>
      <x:c r="T41" s="140"/>
      <x:c r="U41" s="140"/>
      <x:c r="V41" s="155"/>
      <x:c r="W41" s="155"/>
      <x:c r="X41" s="146" t="str">
        <x:f>IF(A41="","",IF(OR(N41&gt;=15,O41="Breached",AND(R41&lt;TODAY(),S41&lt;&gt;"Closed")),"YES","NO"))</x:f>
      </x:c>
    </x:row>
    <x:row r="42">
      <x:c r="A42" s="140"/>
      <x:c r="B42" s="140"/>
      <x:c r="C42" s="140"/>
      <x:c r="D42" s="140"/>
      <x:c r="E42" s="140"/>
      <x:c r="F42" s="140"/>
      <x:c r="G42" s="150"/>
      <x:c r="H42" s="150"/>
      <x:c r="I42" s="151" t="str">
        <x:f>IF(OR(G42="",H42=""),"",G42*H42)</x:f>
      </x:c>
      <x:c r="J42" s="140"/>
      <x:c r="K42" s="140"/>
      <x:c r="L42" s="150"/>
      <x:c r="M42" s="150"/>
      <x:c r="N42" s="151" t="str">
        <x:f>IF(OR(L42="",M42=""),"",L42*M42)</x:f>
      </x:c>
      <x:c r="O42" s="140"/>
      <x:c r="P42" s="140"/>
      <x:c r="Q42" s="140"/>
      <x:c r="R42" s="155"/>
      <x:c r="S42" s="140"/>
      <x:c r="T42" s="140"/>
      <x:c r="U42" s="140"/>
      <x:c r="V42" s="155"/>
      <x:c r="W42" s="155"/>
      <x:c r="X42" s="146" t="str">
        <x:f>IF(A42="","",IF(OR(N42&gt;=15,O42="Breached",AND(R42&lt;TODAY(),S42&lt;&gt;"Closed")),"YES","NO"))</x:f>
      </x:c>
    </x:row>
    <x:row r="43">
      <x:c r="A43" s="140"/>
      <x:c r="B43" s="140"/>
      <x:c r="C43" s="140"/>
      <x:c r="D43" s="140"/>
      <x:c r="E43" s="140"/>
      <x:c r="F43" s="140"/>
      <x:c r="G43" s="150"/>
      <x:c r="H43" s="150"/>
      <x:c r="I43" s="151" t="str">
        <x:f>IF(OR(G43="",H43=""),"",G43*H43)</x:f>
      </x:c>
      <x:c r="J43" s="140"/>
      <x:c r="K43" s="140"/>
      <x:c r="L43" s="150"/>
      <x:c r="M43" s="150"/>
      <x:c r="N43" s="151" t="str">
        <x:f>IF(OR(L43="",M43=""),"",L43*M43)</x:f>
      </x:c>
      <x:c r="O43" s="140"/>
      <x:c r="P43" s="140"/>
      <x:c r="Q43" s="140"/>
      <x:c r="R43" s="155"/>
      <x:c r="S43" s="140"/>
      <x:c r="T43" s="140"/>
      <x:c r="U43" s="140"/>
      <x:c r="V43" s="155"/>
      <x:c r="W43" s="155"/>
      <x:c r="X43" s="146" t="str">
        <x:f>IF(A43="","",IF(OR(N43&gt;=15,O43="Breached",AND(R43&lt;TODAY(),S43&lt;&gt;"Closed")),"YES","NO"))</x:f>
      </x:c>
    </x:row>
    <x:row r="44">
      <x:c r="A44" s="140"/>
      <x:c r="B44" s="140"/>
      <x:c r="C44" s="140"/>
      <x:c r="D44" s="140"/>
      <x:c r="E44" s="140"/>
      <x:c r="F44" s="140"/>
      <x:c r="G44" s="150"/>
      <x:c r="H44" s="150"/>
      <x:c r="I44" s="151" t="str">
        <x:f>IF(OR(G44="",H44=""),"",G44*H44)</x:f>
      </x:c>
      <x:c r="J44" s="140"/>
      <x:c r="K44" s="140"/>
      <x:c r="L44" s="150"/>
      <x:c r="M44" s="150"/>
      <x:c r="N44" s="151" t="str">
        <x:f>IF(OR(L44="",M44=""),"",L44*M44)</x:f>
      </x:c>
      <x:c r="O44" s="140"/>
      <x:c r="P44" s="140"/>
      <x:c r="Q44" s="140"/>
      <x:c r="R44" s="155"/>
      <x:c r="S44" s="140"/>
      <x:c r="T44" s="140"/>
      <x:c r="U44" s="140"/>
      <x:c r="V44" s="155"/>
      <x:c r="W44" s="155"/>
      <x:c r="X44" s="146" t="str">
        <x:f>IF(A44="","",IF(OR(N44&gt;=15,O44="Breached",AND(R44&lt;TODAY(),S44&lt;&gt;"Closed")),"YES","NO"))</x:f>
      </x:c>
    </x:row>
    <x:row r="45">
      <x:c r="A45" s="140"/>
      <x:c r="B45" s="140"/>
      <x:c r="C45" s="140"/>
      <x:c r="D45" s="140"/>
      <x:c r="E45" s="140"/>
      <x:c r="F45" s="140"/>
      <x:c r="G45" s="150"/>
      <x:c r="H45" s="150"/>
      <x:c r="I45" s="151" t="str">
        <x:f>IF(OR(G45="",H45=""),"",G45*H45)</x:f>
      </x:c>
      <x:c r="J45" s="140"/>
      <x:c r="K45" s="140"/>
      <x:c r="L45" s="150"/>
      <x:c r="M45" s="150"/>
      <x:c r="N45" s="151" t="str">
        <x:f>IF(OR(L45="",M45=""),"",L45*M45)</x:f>
      </x:c>
      <x:c r="O45" s="140"/>
      <x:c r="P45" s="140"/>
      <x:c r="Q45" s="140"/>
      <x:c r="R45" s="155"/>
      <x:c r="S45" s="140"/>
      <x:c r="T45" s="140"/>
      <x:c r="U45" s="140"/>
      <x:c r="V45" s="155"/>
      <x:c r="W45" s="155"/>
      <x:c r="X45" s="146" t="str">
        <x:f>IF(A45="","",IF(OR(N45&gt;=15,O45="Breached",AND(R45&lt;TODAY(),S45&lt;&gt;"Closed")),"YES","NO"))</x:f>
      </x:c>
    </x:row>
    <x:row r="46">
      <x:c r="A46" s="140"/>
      <x:c r="B46" s="140"/>
      <x:c r="C46" s="140"/>
      <x:c r="D46" s="140"/>
      <x:c r="E46" s="140"/>
      <x:c r="F46" s="140"/>
      <x:c r="G46" s="150"/>
      <x:c r="H46" s="150"/>
      <x:c r="I46" s="151" t="str">
        <x:f>IF(OR(G46="",H46=""),"",G46*H46)</x:f>
      </x:c>
      <x:c r="J46" s="140"/>
      <x:c r="K46" s="140"/>
      <x:c r="L46" s="150"/>
      <x:c r="M46" s="150"/>
      <x:c r="N46" s="151" t="str">
        <x:f>IF(OR(L46="",M46=""),"",L46*M46)</x:f>
      </x:c>
      <x:c r="O46" s="140"/>
      <x:c r="P46" s="140"/>
      <x:c r="Q46" s="140"/>
      <x:c r="R46" s="155"/>
      <x:c r="S46" s="140"/>
      <x:c r="T46" s="140"/>
      <x:c r="U46" s="140"/>
      <x:c r="V46" s="155"/>
      <x:c r="W46" s="155"/>
      <x:c r="X46" s="146" t="str">
        <x:f>IF(A46="","",IF(OR(N46&gt;=15,O46="Breached",AND(R46&lt;TODAY(),S46&lt;&gt;"Closed")),"YES","NO"))</x:f>
      </x:c>
    </x:row>
    <x:row r="47">
      <x:c r="A47" s="140"/>
      <x:c r="B47" s="140"/>
      <x:c r="C47" s="140"/>
      <x:c r="D47" s="140"/>
      <x:c r="E47" s="140"/>
      <x:c r="F47" s="140"/>
      <x:c r="G47" s="150"/>
      <x:c r="H47" s="150"/>
      <x:c r="I47" s="151" t="str">
        <x:f>IF(OR(G47="",H47=""),"",G47*H47)</x:f>
      </x:c>
      <x:c r="J47" s="140"/>
      <x:c r="K47" s="140"/>
      <x:c r="L47" s="150"/>
      <x:c r="M47" s="150"/>
      <x:c r="N47" s="151" t="str">
        <x:f>IF(OR(L47="",M47=""),"",L47*M47)</x:f>
      </x:c>
      <x:c r="O47" s="140"/>
      <x:c r="P47" s="140"/>
      <x:c r="Q47" s="140"/>
      <x:c r="R47" s="155"/>
      <x:c r="S47" s="140"/>
      <x:c r="T47" s="140"/>
      <x:c r="U47" s="140"/>
      <x:c r="V47" s="155"/>
      <x:c r="W47" s="155"/>
      <x:c r="X47" s="146" t="str">
        <x:f>IF(A47="","",IF(OR(N47&gt;=15,O47="Breached",AND(R47&lt;TODAY(),S47&lt;&gt;"Closed")),"YES","NO"))</x:f>
      </x:c>
    </x:row>
    <x:row r="48">
      <x:c r="A48" s="140"/>
      <x:c r="B48" s="140"/>
      <x:c r="C48" s="140"/>
      <x:c r="D48" s="140"/>
      <x:c r="E48" s="140"/>
      <x:c r="F48" s="140"/>
      <x:c r="G48" s="150"/>
      <x:c r="H48" s="150"/>
      <x:c r="I48" s="151" t="str">
        <x:f>IF(OR(G48="",H48=""),"",G48*H48)</x:f>
      </x:c>
      <x:c r="J48" s="140"/>
      <x:c r="K48" s="140"/>
      <x:c r="L48" s="150"/>
      <x:c r="M48" s="150"/>
      <x:c r="N48" s="151" t="str">
        <x:f>IF(OR(L48="",M48=""),"",L48*M48)</x:f>
      </x:c>
      <x:c r="O48" s="140"/>
      <x:c r="P48" s="140"/>
      <x:c r="Q48" s="140"/>
      <x:c r="R48" s="155"/>
      <x:c r="S48" s="140"/>
      <x:c r="T48" s="140"/>
      <x:c r="U48" s="140"/>
      <x:c r="V48" s="155"/>
      <x:c r="W48" s="155"/>
      <x:c r="X48" s="146" t="str">
        <x:f>IF(A48="","",IF(OR(N48&gt;=15,O48="Breached",AND(R48&lt;TODAY(),S48&lt;&gt;"Closed")),"YES","NO"))</x:f>
      </x:c>
    </x:row>
    <x:row r="49">
      <x:c r="A49" s="140"/>
      <x:c r="B49" s="140"/>
      <x:c r="C49" s="140"/>
      <x:c r="D49" s="140"/>
      <x:c r="E49" s="140"/>
      <x:c r="F49" s="140"/>
      <x:c r="G49" s="150"/>
      <x:c r="H49" s="150"/>
      <x:c r="I49" s="151" t="str">
        <x:f>IF(OR(G49="",H49=""),"",G49*H49)</x:f>
      </x:c>
      <x:c r="J49" s="140"/>
      <x:c r="K49" s="140"/>
      <x:c r="L49" s="150"/>
      <x:c r="M49" s="150"/>
      <x:c r="N49" s="151" t="str">
        <x:f>IF(OR(L49="",M49=""),"",L49*M49)</x:f>
      </x:c>
      <x:c r="O49" s="140"/>
      <x:c r="P49" s="140"/>
      <x:c r="Q49" s="140"/>
      <x:c r="R49" s="155"/>
      <x:c r="S49" s="140"/>
      <x:c r="T49" s="140"/>
      <x:c r="U49" s="140"/>
      <x:c r="V49" s="155"/>
      <x:c r="W49" s="155"/>
      <x:c r="X49" s="146" t="str">
        <x:f>IF(A49="","",IF(OR(N49&gt;=15,O49="Breached",AND(R49&lt;TODAY(),S49&lt;&gt;"Closed")),"YES","NO"))</x:f>
      </x:c>
    </x:row>
    <x:row r="50">
      <x:c r="A50" s="140"/>
      <x:c r="B50" s="140"/>
      <x:c r="C50" s="140"/>
      <x:c r="D50" s="140"/>
      <x:c r="E50" s="140"/>
      <x:c r="F50" s="140"/>
      <x:c r="G50" s="150"/>
      <x:c r="H50" s="150"/>
      <x:c r="I50" s="151" t="str">
        <x:f>IF(OR(G50="",H50=""),"",G50*H50)</x:f>
      </x:c>
      <x:c r="J50" s="140"/>
      <x:c r="K50" s="140"/>
      <x:c r="L50" s="150"/>
      <x:c r="M50" s="150"/>
      <x:c r="N50" s="151" t="str">
        <x:f>IF(OR(L50="",M50=""),"",L50*M50)</x:f>
      </x:c>
      <x:c r="O50" s="140"/>
      <x:c r="P50" s="140"/>
      <x:c r="Q50" s="140"/>
      <x:c r="R50" s="155"/>
      <x:c r="S50" s="140"/>
      <x:c r="T50" s="140"/>
      <x:c r="U50" s="140"/>
      <x:c r="V50" s="155"/>
      <x:c r="W50" s="155"/>
      <x:c r="X50" s="146" t="str">
        <x:f>IF(A50="","",IF(OR(N50&gt;=15,O50="Breached",AND(R50&lt;TODAY(),S50&lt;&gt;"Closed")),"YES","NO"))</x:f>
      </x:c>
    </x:row>
    <x:row r="51">
      <x:c r="A51" s="140"/>
      <x:c r="B51" s="140"/>
      <x:c r="C51" s="140"/>
      <x:c r="D51" s="140"/>
      <x:c r="E51" s="140"/>
      <x:c r="F51" s="140"/>
      <x:c r="G51" s="150"/>
      <x:c r="H51" s="150"/>
      <x:c r="I51" s="151" t="str">
        <x:f>IF(OR(G51="",H51=""),"",G51*H51)</x:f>
      </x:c>
      <x:c r="J51" s="140"/>
      <x:c r="K51" s="140"/>
      <x:c r="L51" s="150"/>
      <x:c r="M51" s="150"/>
      <x:c r="N51" s="151" t="str">
        <x:f>IF(OR(L51="",M51=""),"",L51*M51)</x:f>
      </x:c>
      <x:c r="O51" s="140"/>
      <x:c r="P51" s="140"/>
      <x:c r="Q51" s="140"/>
      <x:c r="R51" s="155"/>
      <x:c r="S51" s="140"/>
      <x:c r="T51" s="140"/>
      <x:c r="U51" s="140"/>
      <x:c r="V51" s="155"/>
      <x:c r="W51" s="155"/>
      <x:c r="X51" s="146" t="str">
        <x:f>IF(A51="","",IF(OR(N51&gt;=15,O51="Breached",AND(R51&lt;TODAY(),S51&lt;&gt;"Closed")),"YES","NO"))</x:f>
      </x:c>
    </x:row>
    <x:row r="52">
      <x:c r="A52" s="140"/>
      <x:c r="B52" s="140"/>
      <x:c r="C52" s="140"/>
      <x:c r="D52" s="140"/>
      <x:c r="E52" s="140"/>
      <x:c r="F52" s="140"/>
      <x:c r="G52" s="150"/>
      <x:c r="H52" s="150"/>
      <x:c r="I52" s="151" t="str">
        <x:f>IF(OR(G52="",H52=""),"",G52*H52)</x:f>
      </x:c>
      <x:c r="J52" s="140"/>
      <x:c r="K52" s="140"/>
      <x:c r="L52" s="150"/>
      <x:c r="M52" s="150"/>
      <x:c r="N52" s="151" t="str">
        <x:f>IF(OR(L52="",M52=""),"",L52*M52)</x:f>
      </x:c>
      <x:c r="O52" s="140"/>
      <x:c r="P52" s="140"/>
      <x:c r="Q52" s="140"/>
      <x:c r="R52" s="155"/>
      <x:c r="S52" s="140"/>
      <x:c r="T52" s="140"/>
      <x:c r="U52" s="140"/>
      <x:c r="V52" s="155"/>
      <x:c r="W52" s="155"/>
      <x:c r="X52" s="146" t="str">
        <x:f>IF(A52="","",IF(OR(N52&gt;=15,O52="Breached",AND(R52&lt;TODAY(),S52&lt;&gt;"Closed")),"YES","NO"))</x:f>
      </x:c>
    </x:row>
    <x:row r="53">
      <x:c r="A53" s="140"/>
      <x:c r="B53" s="140"/>
      <x:c r="C53" s="140"/>
      <x:c r="D53" s="140"/>
      <x:c r="E53" s="140"/>
      <x:c r="F53" s="140"/>
      <x:c r="G53" s="150"/>
      <x:c r="H53" s="150"/>
      <x:c r="I53" s="151" t="str">
        <x:f>IF(OR(G53="",H53=""),"",G53*H53)</x:f>
      </x:c>
      <x:c r="J53" s="140"/>
      <x:c r="K53" s="140"/>
      <x:c r="L53" s="150"/>
      <x:c r="M53" s="150"/>
      <x:c r="N53" s="151" t="str">
        <x:f>IF(OR(L53="",M53=""),"",L53*M53)</x:f>
      </x:c>
      <x:c r="O53" s="140"/>
      <x:c r="P53" s="140"/>
      <x:c r="Q53" s="140"/>
      <x:c r="R53" s="155"/>
      <x:c r="S53" s="140"/>
      <x:c r="T53" s="140"/>
      <x:c r="U53" s="140"/>
      <x:c r="V53" s="155"/>
      <x:c r="W53" s="155"/>
      <x:c r="X53" s="146" t="str">
        <x:f>IF(A53="","",IF(OR(N53&gt;=15,O53="Breached",AND(R53&lt;TODAY(),S53&lt;&gt;"Closed")),"YES","NO"))</x:f>
      </x:c>
    </x:row>
    <x:row r="54">
      <x:c r="A54" s="140"/>
      <x:c r="B54" s="140"/>
      <x:c r="C54" s="140"/>
      <x:c r="D54" s="140"/>
      <x:c r="E54" s="140"/>
      <x:c r="F54" s="140"/>
      <x:c r="G54" s="150"/>
      <x:c r="H54" s="150"/>
      <x:c r="I54" s="151" t="str">
        <x:f>IF(OR(G54="",H54=""),"",G54*H54)</x:f>
      </x:c>
      <x:c r="J54" s="140"/>
      <x:c r="K54" s="140"/>
      <x:c r="L54" s="150"/>
      <x:c r="M54" s="150"/>
      <x:c r="N54" s="151" t="str">
        <x:f>IF(OR(L54="",M54=""),"",L54*M54)</x:f>
      </x:c>
      <x:c r="O54" s="140"/>
      <x:c r="P54" s="140"/>
      <x:c r="Q54" s="140"/>
      <x:c r="R54" s="155"/>
      <x:c r="S54" s="140"/>
      <x:c r="T54" s="140"/>
      <x:c r="U54" s="140"/>
      <x:c r="V54" s="155"/>
      <x:c r="W54" s="155"/>
      <x:c r="X54" s="146" t="str">
        <x:f>IF(A54="","",IF(OR(N54&gt;=15,O54="Breached",AND(R54&lt;TODAY(),S54&lt;&gt;"Closed")),"YES","NO"))</x:f>
      </x:c>
    </x:row>
    <x:row r="55">
      <x:c r="A55" s="140"/>
      <x:c r="B55" s="140"/>
      <x:c r="C55" s="140"/>
      <x:c r="D55" s="140"/>
      <x:c r="E55" s="140"/>
      <x:c r="F55" s="140"/>
      <x:c r="G55" s="150"/>
      <x:c r="H55" s="150"/>
      <x:c r="I55" s="151" t="str">
        <x:f>IF(OR(G55="",H55=""),"",G55*H55)</x:f>
      </x:c>
      <x:c r="J55" s="140"/>
      <x:c r="K55" s="140"/>
      <x:c r="L55" s="150"/>
      <x:c r="M55" s="150"/>
      <x:c r="N55" s="151" t="str">
        <x:f>IF(OR(L55="",M55=""),"",L55*M55)</x:f>
      </x:c>
      <x:c r="O55" s="140"/>
      <x:c r="P55" s="140"/>
      <x:c r="Q55" s="140"/>
      <x:c r="R55" s="155"/>
      <x:c r="S55" s="140"/>
      <x:c r="T55" s="140"/>
      <x:c r="U55" s="140"/>
      <x:c r="V55" s="155"/>
      <x:c r="W55" s="155"/>
      <x:c r="X55" s="146" t="str">
        <x:f>IF(A55="","",IF(OR(N55&gt;=15,O55="Breached",AND(R55&lt;TODAY(),S55&lt;&gt;"Closed")),"YES","NO"))</x:f>
      </x:c>
    </x:row>
    <x:row r="56">
      <x:c r="A56" s="140"/>
      <x:c r="B56" s="140"/>
      <x:c r="C56" s="140"/>
      <x:c r="D56" s="140"/>
      <x:c r="E56" s="140"/>
      <x:c r="F56" s="140"/>
      <x:c r="G56" s="150"/>
      <x:c r="H56" s="150"/>
      <x:c r="I56" s="151" t="str">
        <x:f>IF(OR(G56="",H56=""),"",G56*H56)</x:f>
      </x:c>
      <x:c r="J56" s="140"/>
      <x:c r="K56" s="140"/>
      <x:c r="L56" s="150"/>
      <x:c r="M56" s="150"/>
      <x:c r="N56" s="151" t="str">
        <x:f>IF(OR(L56="",M56=""),"",L56*M56)</x:f>
      </x:c>
      <x:c r="O56" s="140"/>
      <x:c r="P56" s="140"/>
      <x:c r="Q56" s="140"/>
      <x:c r="R56" s="155"/>
      <x:c r="S56" s="140"/>
      <x:c r="T56" s="140"/>
      <x:c r="U56" s="140"/>
      <x:c r="V56" s="155"/>
      <x:c r="W56" s="155"/>
      <x:c r="X56" s="146" t="str">
        <x:f>IF(A56="","",IF(OR(N56&gt;=15,O56="Breached",AND(R56&lt;TODAY(),S56&lt;&gt;"Closed")),"YES","NO"))</x:f>
      </x:c>
    </x:row>
    <x:row r="57">
      <x:c r="A57" s="141"/>
      <x:c r="B57" s="141"/>
      <x:c r="C57" s="141"/>
      <x:c r="D57" s="141"/>
      <x:c r="E57" s="141"/>
      <x:c r="F57" s="141"/>
      <x:c r="G57" s="152"/>
      <x:c r="H57" s="152"/>
      <x:c r="I57" s="153" t="str">
        <x:f>IF(OR(G57="",H57=""),"",G57*H57)</x:f>
      </x:c>
      <x:c r="J57" s="141"/>
      <x:c r="K57" s="141"/>
      <x:c r="L57" s="152"/>
      <x:c r="M57" s="152"/>
      <x:c r="N57" s="153" t="str">
        <x:f>IF(OR(L57="",M57=""),"",L57*M57)</x:f>
      </x:c>
      <x:c r="O57" s="141"/>
      <x:c r="P57" s="141"/>
      <x:c r="Q57" s="141"/>
      <x:c r="R57" s="156"/>
      <x:c r="S57" s="141"/>
      <x:c r="T57" s="141"/>
      <x:c r="U57" s="141"/>
      <x:c r="V57" s="156"/>
      <x:c r="W57" s="156"/>
      <x:c r="X57" s="147" t="str">
        <x:f>IF(A57="","",IF(OR(N57&gt;=15,O57="Breached",AND(R57&lt;TODAY(),S57&lt;&gt;"Closed")),"YES","NO"))</x:f>
      </x:c>
    </x:row>
  </x:sheetData>
  <x:mergeCells>
    <x:mergeCell ref="A1:X1"/>
    <x:mergeCell ref="A2:X2"/>
    <x:mergeCell ref="A4:D4"/>
    <x:mergeCell ref="A5:D5"/>
    <x:mergeCell ref="F4:I4"/>
    <x:mergeCell ref="F5:I5"/>
    <x:mergeCell ref="K4:N4"/>
    <x:mergeCell ref="K5:N5"/>
    <x:mergeCell ref="P4:S4"/>
    <x:mergeCell ref="P5:S5"/>
  </x:mergeCells>
  <x:conditionalFormatting sqref="I8:I57">
    <x:cfRule type="colorScale" priority="1">
      <x:colorScale>
        <x:cfvo type="min"/>
        <x:cfvo type="percentile" val="50"/>
        <x:cfvo type="max"/>
        <x:color rgb="FFDCFCE7"/>
        <x:color rgb="FFFEF3C7"/>
        <x:color rgb="FFFEE2E2"/>
      </x:colorScale>
    </x:cfRule>
  </x:conditionalFormatting>
  <x:conditionalFormatting sqref="N8:N57">
    <x:cfRule type="colorScale" priority="2">
      <x:colorScale>
        <x:cfvo type="min"/>
        <x:cfvo type="percentile" val="50"/>
        <x:cfvo type="max"/>
        <x:color rgb="FFDCFCE7"/>
        <x:color rgb="FFFEF3C7"/>
        <x:color rgb="FFFEE2E2"/>
      </x:colorScale>
    </x:cfRule>
  </x:conditionalFormatting>
  <x:conditionalFormatting sqref="O8:O57">
    <x:cfRule type="containsText" dxfId="0" priority="3" operator="containsText" text="Breached"/>
    <x:cfRule type="containsText" dxfId="1" priority="4" operator="containsText" text="Watch"/>
    <x:cfRule type="containsText" dxfId="2" priority="5" operator="containsText" text="Within"/>
  </x:conditionalFormatting>
  <x:conditionalFormatting sqref="X8:X57">
    <x:cfRule type="containsText" dxfId="3" priority="6" operator="containsText" text="YES"/>
    <x:cfRule type="containsText" dxfId="4" priority="7" operator="containsText" text="NO"/>
  </x:conditionalFormatting>
  <x:dataValidations count="6">
    <x:dataValidation type="list" sqref="B8:B57">
      <x:formula1>"Strategic,Credit,Liquidity,Market,Operational,Technology,Conduct,Compliance,Financial Crime,People,Third Party,Model,Climate / ESG"</x:formula1>
    </x:dataValidation>
    <x:dataValidation type="whole" operator="between" sqref="G8:H57">
      <x:formula1>1</x:formula1>
      <x:formula2>5</x:formula2>
    </x:dataValidation>
    <x:dataValidation type="whole" operator="between" sqref="L8:M57">
      <x:formula1>1</x:formula1>
      <x:formula2>5</x:formula2>
    </x:dataValidation>
    <x:dataValidation type="list" sqref="K8:K57">
      <x:formula1>"Strong,Adequate,Weak,Not assessed"</x:formula1>
    </x:dataValidation>
    <x:dataValidation type="list" sqref="O8:O57">
      <x:formula1>"Within,Watch,Breached"</x:formula1>
    </x:dataValidation>
    <x:dataValidation type="list" sqref="S8:S57">
      <x:formula1>"Open,In progress,On hold,Closed"</x:formula1>
    </x:dataValidation>
  </x:dataValidations>
  <x:pageMargins left="0.7" right="0.7" top="0.75" bottom="0.75" header="0.3" footer="0.3"/>
  <x:drawing xmlns:r="http://schemas.openxmlformats.org/officeDocument/2006/relationships" r:id="R347250ee11754e64"/>
  <x:tableParts count="1">
    <x:tablePart xmlns:r="http://schemas.openxmlformats.org/officeDocument/2006/relationships" r:id="R39f8af8b2efe49db"/>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8" hidden="0" customWidth="1"/>
    <x:col min="3" max="3" width="18" hidden="0" customWidth="1"/>
    <x:col min="4" max="4" width="20" hidden="0" customWidth="1"/>
    <x:col min="5" max="5" width="11" hidden="0" customWidth="1"/>
    <x:col min="6" max="6" width="34" hidden="0" customWidth="1"/>
    <x:col min="7" max="7" width="30" hidden="0" customWidth="1"/>
    <x:col min="8" max="8" width="32" hidden="0" customWidth="1"/>
    <x:col min="9" max="9" width="16" hidden="0" customWidth="1"/>
    <x:col min="10" max="10" width="14" hidden="0" customWidth="1"/>
    <x:col min="11" max="11" width="18" hidden="0" customWidth="1"/>
    <x:col min="12" max="12" width="20" hidden="0" customWidth="1"/>
    <x:col min="13" max="13" width="14" hidden="0" customWidth="1"/>
    <x:col min="14" max="14" width="14" hidden="0" customWidth="1"/>
    <x:col min="15" max="15" width="14" hidden="0" customWidth="1"/>
    <x:col min="16" max="16" width="28" hidden="0" customWidth="1"/>
    <x:col min="17" max="17" width="18" hidden="0" customWidth="1"/>
    <x:col min="18" max="18" width="11" hidden="0" customWidth="1"/>
    <x:col min="19" max="19" width="16" hidden="0" customWidth="1"/>
  </x:cols>
  <x:sheetData>
    <x:row r="1" ht="34" customHeight="1">
      <x:c r="A1" s="3" t="str">
        <x:v>Incident &amp; Loss Event Report</x:v>
      </x:c>
      <x:c r="B1" s="3"/>
      <x:c r="C1" s="3"/>
      <x:c r="D1" s="3"/>
      <x:c r="E1" s="3"/>
      <x:c r="F1" s="3"/>
      <x:c r="G1" s="3"/>
      <x:c r="H1" s="3"/>
      <x:c r="I1" s="3"/>
      <x:c r="J1" s="3"/>
      <x:c r="K1" s="3"/>
      <x:c r="L1" s="3"/>
      <x:c r="M1" s="3"/>
      <x:c r="N1" s="3"/>
      <x:c r="O1" s="3"/>
      <x:c r="P1" s="3"/>
      <x:c r="Q1" s="3"/>
      <x:c r="R1" s="3"/>
      <x:c r="S1" s="3"/>
    </x:row>
    <x:row r="2" ht="30" customHeight="1">
      <x:c r="A2" s="7" t="str">
        <x:v>Capture facts early, separate immediate containment from root-cause remediation, and assess notification obligations promptly.</x:v>
      </x:c>
      <x:c r="B2" s="7"/>
      <x:c r="C2" s="7"/>
      <x:c r="D2" s="7"/>
      <x:c r="E2" s="7"/>
      <x:c r="F2" s="7"/>
      <x:c r="G2" s="7"/>
      <x:c r="H2" s="7"/>
      <x:c r="I2" s="7"/>
      <x:c r="J2" s="7"/>
      <x:c r="K2" s="7"/>
      <x:c r="L2" s="7"/>
      <x:c r="M2" s="7"/>
      <x:c r="N2" s="7"/>
      <x:c r="O2" s="7"/>
      <x:c r="P2" s="7"/>
      <x:c r="Q2" s="7"/>
      <x:c r="R2" s="7"/>
      <x:c r="S2" s="7"/>
    </x:row>
    <x:row r="4">
      <x:c r="A4" s="102" t="str">
        <x:v>Open incidents</x:v>
      </x:c>
      <x:c r="B4" s="103"/>
      <x:c r="C4" s="104"/>
      <x:c r="E4" s="102" t="str">
        <x:v>Severe / critical</x:v>
      </x:c>
      <x:c r="F4" s="103"/>
      <x:c r="G4" s="104"/>
      <x:c r="I4" s="102" t="str">
        <x:v>Regulatory reportable</x:v>
      </x:c>
      <x:c r="J4" s="103"/>
      <x:c r="K4" s="104"/>
      <x:c r="M4" s="102" t="str">
        <x:v>Overdue</x:v>
      </x:c>
      <x:c r="N4" s="103"/>
      <x:c r="O4" s="104"/>
    </x:row>
    <x:row r="5">
      <x:c r="A5" s="157" t="n">
        <x:f>COUNTIFS(A8:A47,"&lt;&gt;",M8:M47,"&lt;&gt;Closed")</x:f>
        <x:v>3</x:v>
      </x:c>
      <x:c r="B5" s="158"/>
      <x:c r="C5" s="159"/>
      <x:c r="D5" s="117"/>
      <x:c r="E5" s="157" t="n">
        <x:f>COUNTIF(E8:E47,"Critical")+COUNTIF(E8:E47,"High")</x:f>
        <x:v>2</x:v>
      </x:c>
      <x:c r="F5" s="158"/>
      <x:c r="G5" s="159"/>
      <x:c r="H5" s="117"/>
      <x:c r="I5" s="157" t="n">
        <x:f>COUNTIF(K8:K47,"Yes")</x:f>
        <x:v>1</x:v>
      </x:c>
      <x:c r="J5" s="158"/>
      <x:c r="K5" s="159"/>
      <x:c r="L5" s="117"/>
      <x:c r="M5" s="157" t="n">
        <x:f>COUNTIF(S8:S47,"YES")</x:f>
        <x:v>1</x:v>
      </x:c>
      <x:c r="N5" s="158"/>
      <x:c r="O5" s="159"/>
    </x:row>
    <x:row r="7" ht="32" customHeight="1">
      <x:c r="A7" s="126" t="str">
        <x:v>Incident ID</x:v>
      </x:c>
      <x:c r="B7" s="127" t="str">
        <x:v>Detected date/time</x:v>
      </x:c>
      <x:c r="C7" s="127" t="str">
        <x:v>Business area</x:v>
      </x:c>
      <x:c r="D7" s="127" t="str">
        <x:v>Incident type</x:v>
      </x:c>
      <x:c r="E7" s="127" t="str">
        <x:v>Severity</x:v>
      </x:c>
      <x:c r="F7" s="127" t="str">
        <x:v>Description / facts</x:v>
      </x:c>
      <x:c r="G7" s="127" t="str">
        <x:v>Immediate containment</x:v>
      </x:c>
      <x:c r="H7" s="127" t="str">
        <x:v>Root cause</x:v>
      </x:c>
      <x:c r="I7" s="127" t="str">
        <x:v>Financial impact (£)</x:v>
      </x:c>
      <x:c r="J7" s="127" t="str">
        <x:v>Customer impact?</x:v>
      </x:c>
      <x:c r="K7" s="127" t="str">
        <x:v>Regulatory reportable?</x:v>
      </x:c>
      <x:c r="L7" s="127" t="str">
        <x:v>Owner</x:v>
      </x:c>
      <x:c r="M7" s="127" t="str">
        <x:v>Status</x:v>
      </x:c>
      <x:c r="N7" s="127" t="str">
        <x:v>Target closure</x:v>
      </x:c>
      <x:c r="O7" s="127" t="str">
        <x:v>Actual closure</x:v>
      </x:c>
      <x:c r="P7" s="127" t="str">
        <x:v>Lessons learned</x:v>
      </x:c>
      <x:c r="Q7" s="127" t="str">
        <x:v>Action / issue reference</x:v>
      </x:c>
      <x:c r="R7" s="127" t="str">
        <x:v>Days open</x:v>
      </x:c>
      <x:c r="S7" s="128" t="str">
        <x:v>Escalation / overdue?</x:v>
      </x:c>
    </x:row>
    <x:row r="8">
      <x:c r="A8" s="139" t="str">
        <x:v>INC-001</x:v>
      </x:c>
      <x:c r="B8" s="160" t="n">
        <x:v>46252.385416666664</x:v>
      </x:c>
      <x:c r="C8" s="139" t="str">
        <x:v>Regulatory Reporting</x:v>
      </x:c>
      <x:c r="D8" s="139" t="str">
        <x:v>Data / reporting</x:v>
      </x:c>
      <x:c r="E8" s="139" t="str">
        <x:v>High</x:v>
      </x:c>
      <x:c r="F8" s="139" t="str">
        <x:v>Daily return excluded one legal entity due to mapping failure</x:v>
      </x:c>
      <x:c r="G8" s="139" t="str">
        <x:v>Corrected submission; notified accountable executive</x:v>
      </x:c>
      <x:c r="H8" s="139" t="str">
        <x:v>Change control did not include end-to-end entity reconciliation</x:v>
      </x:c>
      <x:c r="I8" s="163" t="n">
        <x:v>8500</x:v>
      </x:c>
      <x:c r="J8" s="139" t="str">
        <x:v>No</x:v>
      </x:c>
      <x:c r="K8" s="139" t="str">
        <x:v>Under assessment</x:v>
      </x:c>
      <x:c r="L8" s="139" t="str">
        <x:v>Head of Regulatory Reporting</x:v>
      </x:c>
      <x:c r="M8" s="139" t="str">
        <x:v>In progress</x:v>
      </x:c>
      <x:c r="N8" s="154" t="n">
        <x:v>46277</x:v>
      </x:c>
      <x:c r="O8" s="154"/>
      <x:c r="P8" s="139" t="str">
        <x:v>Pending completion of root-cause review</x:v>
      </x:c>
      <x:c r="Q8" s="139" t="str">
        <x:v>ISS-104</x:v>
      </x:c>
      <x:c r="R8" s="149" t="n">
        <x:f>IF(B8="","",IF(O8&lt;&gt;"",O8-B8,TODAY()-B8))</x:f>
        <x:v>12.614583333333334</x:v>
      </x:c>
      <x:c r="S8" s="145" t="str">
        <x:f>IF(A8="","",IF(OR(E8="Critical",K8="Yes",AND(M8&lt;&gt;"Closed",N8&lt;TODAY())),"YES","NO"))</x:f>
        <x:v>NO</x:v>
      </x:c>
    </x:row>
    <x:row r="9">
      <x:c r="A9" s="140" t="str">
        <x:v>INC-002</x:v>
      </x:c>
      <x:c r="B9" s="161" t="n">
        <x:v>46254.59722222222</x:v>
      </x:c>
      <x:c r="C9" s="140" t="str">
        <x:v>Operations</x:v>
      </x:c>
      <x:c r="D9" s="140" t="str">
        <x:v>Process failure</x:v>
      </x:c>
      <x:c r="E9" s="140" t="str">
        <x:v>Medium</x:v>
      </x:c>
      <x:c r="F9" s="140" t="str">
        <x:v>Delayed broker statement caused incomplete intraday exposure view</x:v>
      </x:c>
      <x:c r="G9" s="140" t="str">
        <x:v>Applied conservative limit and obtained manual statement</x:v>
      </x:c>
      <x:c r="H9" s="140" t="str">
        <x:v>Single-source dependency with no automated age check</x:v>
      </x:c>
      <x:c r="I9" s="164" t="n">
        <x:v>0</x:v>
      </x:c>
      <x:c r="J9" s="140" t="str">
        <x:v>No</x:v>
      </x:c>
      <x:c r="K9" s="140" t="str">
        <x:v>No</x:v>
      </x:c>
      <x:c r="L9" s="140" t="str">
        <x:v>Operations Director</x:v>
      </x:c>
      <x:c r="M9" s="140" t="str">
        <x:v>Open</x:v>
      </x:c>
      <x:c r="N9" s="155" t="n">
        <x:v>46285</x:v>
      </x:c>
      <x:c r="O9" s="155"/>
      <x:c r="P9" s="140" t="str">
        <x:v>Introduce statement-age alert</x:v>
      </x:c>
      <x:c r="Q9" s="140" t="str">
        <x:v>ISS-109</x:v>
      </x:c>
      <x:c r="R9" s="151" t="n">
        <x:f>IF(B9="","",IF(O9&lt;&gt;"",O9-B9,TODAY()-B9))</x:f>
        <x:v>10.402777789351852</x:v>
      </x:c>
      <x:c r="S9" s="146" t="str">
        <x:f>IF(A9="","",IF(OR(E9="Critical",K9="Yes",AND(M9&lt;&gt;"Closed",N9&lt;TODAY())),"YES","NO"))</x:f>
        <x:v>NO</x:v>
      </x:c>
    </x:row>
    <x:row r="10">
      <x:c r="A10" s="140" t="str">
        <x:v>INC-003</x:v>
      </x:c>
      <x:c r="B10" s="161" t="n">
        <x:v>46256.322916666664</x:v>
      </x:c>
      <x:c r="C10" s="140" t="str">
        <x:v>Technology</x:v>
      </x:c>
      <x:c r="D10" s="140" t="str">
        <x:v>System outage</x:v>
      </x:c>
      <x:c r="E10" s="140" t="str">
        <x:v>Critical</x:v>
      </x:c>
      <x:c r="F10" s="140" t="str">
        <x:v>Risk dashboard unavailable during market opening</x:v>
      </x:c>
      <x:c r="G10" s="140" t="str">
        <x:v>Activated fallback reporting and incident bridge</x:v>
      </x:c>
      <x:c r="H10" s="140" t="str">
        <x:v>Database failover configuration error</x:v>
      </x:c>
      <x:c r="I10" s="164" t="n">
        <x:v>25000</x:v>
      </x:c>
      <x:c r="J10" s="140" t="str">
        <x:v>Potential</x:v>
      </x:c>
      <x:c r="K10" s="140" t="str">
        <x:v>Yes</x:v>
      </x:c>
      <x:c r="L10" s="140" t="str">
        <x:v>CTO</x:v>
      </x:c>
      <x:c r="M10" s="140" t="str">
        <x:v>In progress</x:v>
      </x:c>
      <x:c r="N10" s="155" t="n">
        <x:v>46270</x:v>
      </x:c>
      <x:c r="O10" s="155"/>
      <x:c r="P10" s="140" t="str">
        <x:v>Resilience test must include live data checks</x:v>
      </x:c>
      <x:c r="Q10" s="140" t="str">
        <x:v>ISS-112</x:v>
      </x:c>
      <x:c r="R10" s="151" t="n">
        <x:f>IF(B10="","",IF(O10&lt;&gt;"",O10-B10,TODAY()-B10))</x:f>
        <x:v>8.677083333333334</x:v>
      </x:c>
      <x:c r="S10" s="146" t="str">
        <x:f>IF(A10="","",IF(OR(E10="Critical",K10="Yes",AND(M10&lt;&gt;"Closed",N10&lt;TODAY())),"YES","NO"))</x:f>
        <x:v>YES</x:v>
      </x:c>
    </x:row>
    <x:row r="11">
      <x:c r="A11" s="140" t="str">
        <x:v>INC-004</x:v>
      </x:c>
      <x:c r="B11" s="161" t="n">
        <x:v>46218.479166666664</x:v>
      </x:c>
      <x:c r="C11" s="140" t="str">
        <x:v>Client Operations</x:v>
      </x:c>
      <x:c r="D11" s="140" t="str">
        <x:v>Customer outcome</x:v>
      </x:c>
      <x:c r="E11" s="140" t="str">
        <x:v>Low</x:v>
      </x:c>
      <x:c r="F11" s="140" t="str">
        <x:v>Client notification issued one business day late</x:v>
      </x:c>
      <x:c r="G11" s="140" t="str">
        <x:v>Notification sent and sample review completed</x:v>
      </x:c>
      <x:c r="H11" s="140" t="str">
        <x:v>Manual queue ownership unclear</x:v>
      </x:c>
      <x:c r="I11" s="164" t="n">
        <x:v>0</x:v>
      </x:c>
      <x:c r="J11" s="140" t="str">
        <x:v>Yes</x:v>
      </x:c>
      <x:c r="K11" s="140" t="str">
        <x:v>No</x:v>
      </x:c>
      <x:c r="L11" s="140" t="str">
        <x:v>Head of Client Operations</x:v>
      </x:c>
      <x:c r="M11" s="140" t="str">
        <x:v>Closed</x:v>
      </x:c>
      <x:c r="N11" s="155" t="n">
        <x:v>46239</x:v>
      </x:c>
      <x:c r="O11" s="155" t="n">
        <x:v>46237</x:v>
      </x:c>
      <x:c r="P11" s="140" t="str">
        <x:v>Daily ownership report introduced</x:v>
      </x:c>
      <x:c r="Q11" s="140" t="str">
        <x:v>ISS-087</x:v>
      </x:c>
      <x:c r="R11" s="151" t="n">
        <x:f>IF(B11="","",IF(O11&lt;&gt;"",O11-B11,TODAY()-B11))</x:f>
        <x:v>18.520833333333332</x:v>
      </x:c>
      <x:c r="S11" s="146" t="str">
        <x:f>IF(A11="","",IF(OR(E11="Critical",K11="Yes",AND(M11&lt;&gt;"Closed",N11&lt;TODAY())),"YES","NO"))</x:f>
        <x:v>NO</x:v>
      </x:c>
    </x:row>
    <x:row r="12">
      <x:c r="A12" s="140"/>
      <x:c r="B12" s="161"/>
      <x:c r="C12" s="140"/>
      <x:c r="D12" s="140"/>
      <x:c r="E12" s="140"/>
      <x:c r="F12" s="140"/>
      <x:c r="G12" s="140"/>
      <x:c r="H12" s="140"/>
      <x:c r="I12" s="164"/>
      <x:c r="J12" s="140"/>
      <x:c r="K12" s="140"/>
      <x:c r="L12" s="140"/>
      <x:c r="M12" s="140"/>
      <x:c r="N12" s="155"/>
      <x:c r="O12" s="155"/>
      <x:c r="P12" s="140"/>
      <x:c r="Q12" s="140"/>
      <x:c r="R12" s="151" t="str">
        <x:f>IF(B12="","",IF(O12&lt;&gt;"",O12-B12,TODAY()-B12))</x:f>
      </x:c>
      <x:c r="S12" s="146" t="str">
        <x:f>IF(A12="","",IF(OR(E12="Critical",K12="Yes",AND(M12&lt;&gt;"Closed",N12&lt;TODAY())),"YES","NO"))</x:f>
      </x:c>
    </x:row>
    <x:row r="13">
      <x:c r="A13" s="140"/>
      <x:c r="B13" s="161"/>
      <x:c r="C13" s="140"/>
      <x:c r="D13" s="140"/>
      <x:c r="E13" s="140"/>
      <x:c r="F13" s="140"/>
      <x:c r="G13" s="140"/>
      <x:c r="H13" s="140"/>
      <x:c r="I13" s="164"/>
      <x:c r="J13" s="140"/>
      <x:c r="K13" s="140"/>
      <x:c r="L13" s="140"/>
      <x:c r="M13" s="140"/>
      <x:c r="N13" s="155"/>
      <x:c r="O13" s="155"/>
      <x:c r="P13" s="140"/>
      <x:c r="Q13" s="140"/>
      <x:c r="R13" s="151" t="str">
        <x:f>IF(B13="","",IF(O13&lt;&gt;"",O13-B13,TODAY()-B13))</x:f>
      </x:c>
      <x:c r="S13" s="146" t="str">
        <x:f>IF(A13="","",IF(OR(E13="Critical",K13="Yes",AND(M13&lt;&gt;"Closed",N13&lt;TODAY())),"YES","NO"))</x:f>
      </x:c>
    </x:row>
    <x:row r="14">
      <x:c r="A14" s="140"/>
      <x:c r="B14" s="161"/>
      <x:c r="C14" s="140"/>
      <x:c r="D14" s="140"/>
      <x:c r="E14" s="140"/>
      <x:c r="F14" s="140"/>
      <x:c r="G14" s="140"/>
      <x:c r="H14" s="140"/>
      <x:c r="I14" s="164"/>
      <x:c r="J14" s="140"/>
      <x:c r="K14" s="140"/>
      <x:c r="L14" s="140"/>
      <x:c r="M14" s="140"/>
      <x:c r="N14" s="155"/>
      <x:c r="O14" s="155"/>
      <x:c r="P14" s="140"/>
      <x:c r="Q14" s="140"/>
      <x:c r="R14" s="151" t="str">
        <x:f>IF(B14="","",IF(O14&lt;&gt;"",O14-B14,TODAY()-B14))</x:f>
      </x:c>
      <x:c r="S14" s="146" t="str">
        <x:f>IF(A14="","",IF(OR(E14="Critical",K14="Yes",AND(M14&lt;&gt;"Closed",N14&lt;TODAY())),"YES","NO"))</x:f>
      </x:c>
    </x:row>
    <x:row r="15">
      <x:c r="A15" s="140"/>
      <x:c r="B15" s="161"/>
      <x:c r="C15" s="140"/>
      <x:c r="D15" s="140"/>
      <x:c r="E15" s="140"/>
      <x:c r="F15" s="140"/>
      <x:c r="G15" s="140"/>
      <x:c r="H15" s="140"/>
      <x:c r="I15" s="164"/>
      <x:c r="J15" s="140"/>
      <x:c r="K15" s="140"/>
      <x:c r="L15" s="140"/>
      <x:c r="M15" s="140"/>
      <x:c r="N15" s="155"/>
      <x:c r="O15" s="155"/>
      <x:c r="P15" s="140"/>
      <x:c r="Q15" s="140"/>
      <x:c r="R15" s="151" t="str">
        <x:f>IF(B15="","",IF(O15&lt;&gt;"",O15-B15,TODAY()-B15))</x:f>
      </x:c>
      <x:c r="S15" s="146" t="str">
        <x:f>IF(A15="","",IF(OR(E15="Critical",K15="Yes",AND(M15&lt;&gt;"Closed",N15&lt;TODAY())),"YES","NO"))</x:f>
      </x:c>
    </x:row>
    <x:row r="16">
      <x:c r="A16" s="140"/>
      <x:c r="B16" s="161"/>
      <x:c r="C16" s="140"/>
      <x:c r="D16" s="140"/>
      <x:c r="E16" s="140"/>
      <x:c r="F16" s="140"/>
      <x:c r="G16" s="140"/>
      <x:c r="H16" s="140"/>
      <x:c r="I16" s="164"/>
      <x:c r="J16" s="140"/>
      <x:c r="K16" s="140"/>
      <x:c r="L16" s="140"/>
      <x:c r="M16" s="140"/>
      <x:c r="N16" s="155"/>
      <x:c r="O16" s="155"/>
      <x:c r="P16" s="140"/>
      <x:c r="Q16" s="140"/>
      <x:c r="R16" s="151" t="str">
        <x:f>IF(B16="","",IF(O16&lt;&gt;"",O16-B16,TODAY()-B16))</x:f>
      </x:c>
      <x:c r="S16" s="146" t="str">
        <x:f>IF(A16="","",IF(OR(E16="Critical",K16="Yes",AND(M16&lt;&gt;"Closed",N16&lt;TODAY())),"YES","NO"))</x:f>
      </x:c>
    </x:row>
    <x:row r="17">
      <x:c r="A17" s="140"/>
      <x:c r="B17" s="161"/>
      <x:c r="C17" s="140"/>
      <x:c r="D17" s="140"/>
      <x:c r="E17" s="140"/>
      <x:c r="F17" s="140"/>
      <x:c r="G17" s="140"/>
      <x:c r="H17" s="140"/>
      <x:c r="I17" s="164"/>
      <x:c r="J17" s="140"/>
      <x:c r="K17" s="140"/>
      <x:c r="L17" s="140"/>
      <x:c r="M17" s="140"/>
      <x:c r="N17" s="155"/>
      <x:c r="O17" s="155"/>
      <x:c r="P17" s="140"/>
      <x:c r="Q17" s="140"/>
      <x:c r="R17" s="151" t="str">
        <x:f>IF(B17="","",IF(O17&lt;&gt;"",O17-B17,TODAY()-B17))</x:f>
      </x:c>
      <x:c r="S17" s="146" t="str">
        <x:f>IF(A17="","",IF(OR(E17="Critical",K17="Yes",AND(M17&lt;&gt;"Closed",N17&lt;TODAY())),"YES","NO"))</x:f>
      </x:c>
    </x:row>
    <x:row r="18">
      <x:c r="A18" s="140"/>
      <x:c r="B18" s="161"/>
      <x:c r="C18" s="140"/>
      <x:c r="D18" s="140"/>
      <x:c r="E18" s="140"/>
      <x:c r="F18" s="140"/>
      <x:c r="G18" s="140"/>
      <x:c r="H18" s="140"/>
      <x:c r="I18" s="164"/>
      <x:c r="J18" s="140"/>
      <x:c r="K18" s="140"/>
      <x:c r="L18" s="140"/>
      <x:c r="M18" s="140"/>
      <x:c r="N18" s="155"/>
      <x:c r="O18" s="155"/>
      <x:c r="P18" s="140"/>
      <x:c r="Q18" s="140"/>
      <x:c r="R18" s="151" t="str">
        <x:f>IF(B18="","",IF(O18&lt;&gt;"",O18-B18,TODAY()-B18))</x:f>
      </x:c>
      <x:c r="S18" s="146" t="str">
        <x:f>IF(A18="","",IF(OR(E18="Critical",K18="Yes",AND(M18&lt;&gt;"Closed",N18&lt;TODAY())),"YES","NO"))</x:f>
      </x:c>
    </x:row>
    <x:row r="19">
      <x:c r="A19" s="140"/>
      <x:c r="B19" s="161"/>
      <x:c r="C19" s="140"/>
      <x:c r="D19" s="140"/>
      <x:c r="E19" s="140"/>
      <x:c r="F19" s="140"/>
      <x:c r="G19" s="140"/>
      <x:c r="H19" s="140"/>
      <x:c r="I19" s="164"/>
      <x:c r="J19" s="140"/>
      <x:c r="K19" s="140"/>
      <x:c r="L19" s="140"/>
      <x:c r="M19" s="140"/>
      <x:c r="N19" s="155"/>
      <x:c r="O19" s="155"/>
      <x:c r="P19" s="140"/>
      <x:c r="Q19" s="140"/>
      <x:c r="R19" s="151" t="str">
        <x:f>IF(B19="","",IF(O19&lt;&gt;"",O19-B19,TODAY()-B19))</x:f>
      </x:c>
      <x:c r="S19" s="146" t="str">
        <x:f>IF(A19="","",IF(OR(E19="Critical",K19="Yes",AND(M19&lt;&gt;"Closed",N19&lt;TODAY())),"YES","NO"))</x:f>
      </x:c>
    </x:row>
    <x:row r="20">
      <x:c r="A20" s="140"/>
      <x:c r="B20" s="161"/>
      <x:c r="C20" s="140"/>
      <x:c r="D20" s="140"/>
      <x:c r="E20" s="140"/>
      <x:c r="F20" s="140"/>
      <x:c r="G20" s="140"/>
      <x:c r="H20" s="140"/>
      <x:c r="I20" s="164"/>
      <x:c r="J20" s="140"/>
      <x:c r="K20" s="140"/>
      <x:c r="L20" s="140"/>
      <x:c r="M20" s="140"/>
      <x:c r="N20" s="155"/>
      <x:c r="O20" s="155"/>
      <x:c r="P20" s="140"/>
      <x:c r="Q20" s="140"/>
      <x:c r="R20" s="151" t="str">
        <x:f>IF(B20="","",IF(O20&lt;&gt;"",O20-B20,TODAY()-B20))</x:f>
      </x:c>
      <x:c r="S20" s="146" t="str">
        <x:f>IF(A20="","",IF(OR(E20="Critical",K20="Yes",AND(M20&lt;&gt;"Closed",N20&lt;TODAY())),"YES","NO"))</x:f>
      </x:c>
    </x:row>
    <x:row r="21">
      <x:c r="A21" s="140"/>
      <x:c r="B21" s="161"/>
      <x:c r="C21" s="140"/>
      <x:c r="D21" s="140"/>
      <x:c r="E21" s="140"/>
      <x:c r="F21" s="140"/>
      <x:c r="G21" s="140"/>
      <x:c r="H21" s="140"/>
      <x:c r="I21" s="164"/>
      <x:c r="J21" s="140"/>
      <x:c r="K21" s="140"/>
      <x:c r="L21" s="140"/>
      <x:c r="M21" s="140"/>
      <x:c r="N21" s="155"/>
      <x:c r="O21" s="155"/>
      <x:c r="P21" s="140"/>
      <x:c r="Q21" s="140"/>
      <x:c r="R21" s="151" t="str">
        <x:f>IF(B21="","",IF(O21&lt;&gt;"",O21-B21,TODAY()-B21))</x:f>
      </x:c>
      <x:c r="S21" s="146" t="str">
        <x:f>IF(A21="","",IF(OR(E21="Critical",K21="Yes",AND(M21&lt;&gt;"Closed",N21&lt;TODAY())),"YES","NO"))</x:f>
      </x:c>
    </x:row>
    <x:row r="22">
      <x:c r="A22" s="140"/>
      <x:c r="B22" s="161"/>
      <x:c r="C22" s="140"/>
      <x:c r="D22" s="140"/>
      <x:c r="E22" s="140"/>
      <x:c r="F22" s="140"/>
      <x:c r="G22" s="140"/>
      <x:c r="H22" s="140"/>
      <x:c r="I22" s="164"/>
      <x:c r="J22" s="140"/>
      <x:c r="K22" s="140"/>
      <x:c r="L22" s="140"/>
      <x:c r="M22" s="140"/>
      <x:c r="N22" s="155"/>
      <x:c r="O22" s="155"/>
      <x:c r="P22" s="140"/>
      <x:c r="Q22" s="140"/>
      <x:c r="R22" s="151" t="str">
        <x:f>IF(B22="","",IF(O22&lt;&gt;"",O22-B22,TODAY()-B22))</x:f>
      </x:c>
      <x:c r="S22" s="146" t="str">
        <x:f>IF(A22="","",IF(OR(E22="Critical",K22="Yes",AND(M22&lt;&gt;"Closed",N22&lt;TODAY())),"YES","NO"))</x:f>
      </x:c>
    </x:row>
    <x:row r="23">
      <x:c r="A23" s="140"/>
      <x:c r="B23" s="161"/>
      <x:c r="C23" s="140"/>
      <x:c r="D23" s="140"/>
      <x:c r="E23" s="140"/>
      <x:c r="F23" s="140"/>
      <x:c r="G23" s="140"/>
      <x:c r="H23" s="140"/>
      <x:c r="I23" s="164"/>
      <x:c r="J23" s="140"/>
      <x:c r="K23" s="140"/>
      <x:c r="L23" s="140"/>
      <x:c r="M23" s="140"/>
      <x:c r="N23" s="155"/>
      <x:c r="O23" s="155"/>
      <x:c r="P23" s="140"/>
      <x:c r="Q23" s="140"/>
      <x:c r="R23" s="151" t="str">
        <x:f>IF(B23="","",IF(O23&lt;&gt;"",O23-B23,TODAY()-B23))</x:f>
      </x:c>
      <x:c r="S23" s="146" t="str">
        <x:f>IF(A23="","",IF(OR(E23="Critical",K23="Yes",AND(M23&lt;&gt;"Closed",N23&lt;TODAY())),"YES","NO"))</x:f>
      </x:c>
    </x:row>
    <x:row r="24">
      <x:c r="A24" s="140"/>
      <x:c r="B24" s="161"/>
      <x:c r="C24" s="140"/>
      <x:c r="D24" s="140"/>
      <x:c r="E24" s="140"/>
      <x:c r="F24" s="140"/>
      <x:c r="G24" s="140"/>
      <x:c r="H24" s="140"/>
      <x:c r="I24" s="164"/>
      <x:c r="J24" s="140"/>
      <x:c r="K24" s="140"/>
      <x:c r="L24" s="140"/>
      <x:c r="M24" s="140"/>
      <x:c r="N24" s="155"/>
      <x:c r="O24" s="155"/>
      <x:c r="P24" s="140"/>
      <x:c r="Q24" s="140"/>
      <x:c r="R24" s="151" t="str">
        <x:f>IF(B24="","",IF(O24&lt;&gt;"",O24-B24,TODAY()-B24))</x:f>
      </x:c>
      <x:c r="S24" s="146" t="str">
        <x:f>IF(A24="","",IF(OR(E24="Critical",K24="Yes",AND(M24&lt;&gt;"Closed",N24&lt;TODAY())),"YES","NO"))</x:f>
      </x:c>
    </x:row>
    <x:row r="25">
      <x:c r="A25" s="140"/>
      <x:c r="B25" s="161"/>
      <x:c r="C25" s="140"/>
      <x:c r="D25" s="140"/>
      <x:c r="E25" s="140"/>
      <x:c r="F25" s="140"/>
      <x:c r="G25" s="140"/>
      <x:c r="H25" s="140"/>
      <x:c r="I25" s="164"/>
      <x:c r="J25" s="140"/>
      <x:c r="K25" s="140"/>
      <x:c r="L25" s="140"/>
      <x:c r="M25" s="140"/>
      <x:c r="N25" s="155"/>
      <x:c r="O25" s="155"/>
      <x:c r="P25" s="140"/>
      <x:c r="Q25" s="140"/>
      <x:c r="R25" s="151" t="str">
        <x:f>IF(B25="","",IF(O25&lt;&gt;"",O25-B25,TODAY()-B25))</x:f>
      </x:c>
      <x:c r="S25" s="146" t="str">
        <x:f>IF(A25="","",IF(OR(E25="Critical",K25="Yes",AND(M25&lt;&gt;"Closed",N25&lt;TODAY())),"YES","NO"))</x:f>
      </x:c>
    </x:row>
    <x:row r="26">
      <x:c r="A26" s="140"/>
      <x:c r="B26" s="161"/>
      <x:c r="C26" s="140"/>
      <x:c r="D26" s="140"/>
      <x:c r="E26" s="140"/>
      <x:c r="F26" s="140"/>
      <x:c r="G26" s="140"/>
      <x:c r="H26" s="140"/>
      <x:c r="I26" s="164"/>
      <x:c r="J26" s="140"/>
      <x:c r="K26" s="140"/>
      <x:c r="L26" s="140"/>
      <x:c r="M26" s="140"/>
      <x:c r="N26" s="155"/>
      <x:c r="O26" s="155"/>
      <x:c r="P26" s="140"/>
      <x:c r="Q26" s="140"/>
      <x:c r="R26" s="151" t="str">
        <x:f>IF(B26="","",IF(O26&lt;&gt;"",O26-B26,TODAY()-B26))</x:f>
      </x:c>
      <x:c r="S26" s="146" t="str">
        <x:f>IF(A26="","",IF(OR(E26="Critical",K26="Yes",AND(M26&lt;&gt;"Closed",N26&lt;TODAY())),"YES","NO"))</x:f>
      </x:c>
    </x:row>
    <x:row r="27">
      <x:c r="A27" s="140"/>
      <x:c r="B27" s="161"/>
      <x:c r="C27" s="140"/>
      <x:c r="D27" s="140"/>
      <x:c r="E27" s="140"/>
      <x:c r="F27" s="140"/>
      <x:c r="G27" s="140"/>
      <x:c r="H27" s="140"/>
      <x:c r="I27" s="164"/>
      <x:c r="J27" s="140"/>
      <x:c r="K27" s="140"/>
      <x:c r="L27" s="140"/>
      <x:c r="M27" s="140"/>
      <x:c r="N27" s="155"/>
      <x:c r="O27" s="155"/>
      <x:c r="P27" s="140"/>
      <x:c r="Q27" s="140"/>
      <x:c r="R27" s="151" t="str">
        <x:f>IF(B27="","",IF(O27&lt;&gt;"",O27-B27,TODAY()-B27))</x:f>
      </x:c>
      <x:c r="S27" s="146" t="str">
        <x:f>IF(A27="","",IF(OR(E27="Critical",K27="Yes",AND(M27&lt;&gt;"Closed",N27&lt;TODAY())),"YES","NO"))</x:f>
      </x:c>
    </x:row>
    <x:row r="28">
      <x:c r="A28" s="140"/>
      <x:c r="B28" s="161"/>
      <x:c r="C28" s="140"/>
      <x:c r="D28" s="140"/>
      <x:c r="E28" s="140"/>
      <x:c r="F28" s="140"/>
      <x:c r="G28" s="140"/>
      <x:c r="H28" s="140"/>
      <x:c r="I28" s="164"/>
      <x:c r="J28" s="140"/>
      <x:c r="K28" s="140"/>
      <x:c r="L28" s="140"/>
      <x:c r="M28" s="140"/>
      <x:c r="N28" s="155"/>
      <x:c r="O28" s="155"/>
      <x:c r="P28" s="140"/>
      <x:c r="Q28" s="140"/>
      <x:c r="R28" s="151" t="str">
        <x:f>IF(B28="","",IF(O28&lt;&gt;"",O28-B28,TODAY()-B28))</x:f>
      </x:c>
      <x:c r="S28" s="146" t="str">
        <x:f>IF(A28="","",IF(OR(E28="Critical",K28="Yes",AND(M28&lt;&gt;"Closed",N28&lt;TODAY())),"YES","NO"))</x:f>
      </x:c>
    </x:row>
    <x:row r="29">
      <x:c r="A29" s="140"/>
      <x:c r="B29" s="161"/>
      <x:c r="C29" s="140"/>
      <x:c r="D29" s="140"/>
      <x:c r="E29" s="140"/>
      <x:c r="F29" s="140"/>
      <x:c r="G29" s="140"/>
      <x:c r="H29" s="140"/>
      <x:c r="I29" s="164"/>
      <x:c r="J29" s="140"/>
      <x:c r="K29" s="140"/>
      <x:c r="L29" s="140"/>
      <x:c r="M29" s="140"/>
      <x:c r="N29" s="155"/>
      <x:c r="O29" s="155"/>
      <x:c r="P29" s="140"/>
      <x:c r="Q29" s="140"/>
      <x:c r="R29" s="151" t="str">
        <x:f>IF(B29="","",IF(O29&lt;&gt;"",O29-B29,TODAY()-B29))</x:f>
      </x:c>
      <x:c r="S29" s="146" t="str">
        <x:f>IF(A29="","",IF(OR(E29="Critical",K29="Yes",AND(M29&lt;&gt;"Closed",N29&lt;TODAY())),"YES","NO"))</x:f>
      </x:c>
    </x:row>
    <x:row r="30">
      <x:c r="A30" s="140"/>
      <x:c r="B30" s="161"/>
      <x:c r="C30" s="140"/>
      <x:c r="D30" s="140"/>
      <x:c r="E30" s="140"/>
      <x:c r="F30" s="140"/>
      <x:c r="G30" s="140"/>
      <x:c r="H30" s="140"/>
      <x:c r="I30" s="164"/>
      <x:c r="J30" s="140"/>
      <x:c r="K30" s="140"/>
      <x:c r="L30" s="140"/>
      <x:c r="M30" s="140"/>
      <x:c r="N30" s="155"/>
      <x:c r="O30" s="155"/>
      <x:c r="P30" s="140"/>
      <x:c r="Q30" s="140"/>
      <x:c r="R30" s="151" t="str">
        <x:f>IF(B30="","",IF(O30&lt;&gt;"",O30-B30,TODAY()-B30))</x:f>
      </x:c>
      <x:c r="S30" s="146" t="str">
        <x:f>IF(A30="","",IF(OR(E30="Critical",K30="Yes",AND(M30&lt;&gt;"Closed",N30&lt;TODAY())),"YES","NO"))</x:f>
      </x:c>
    </x:row>
    <x:row r="31">
      <x:c r="A31" s="140"/>
      <x:c r="B31" s="161"/>
      <x:c r="C31" s="140"/>
      <x:c r="D31" s="140"/>
      <x:c r="E31" s="140"/>
      <x:c r="F31" s="140"/>
      <x:c r="G31" s="140"/>
      <x:c r="H31" s="140"/>
      <x:c r="I31" s="164"/>
      <x:c r="J31" s="140"/>
      <x:c r="K31" s="140"/>
      <x:c r="L31" s="140"/>
      <x:c r="M31" s="140"/>
      <x:c r="N31" s="155"/>
      <x:c r="O31" s="155"/>
      <x:c r="P31" s="140"/>
      <x:c r="Q31" s="140"/>
      <x:c r="R31" s="151" t="str">
        <x:f>IF(B31="","",IF(O31&lt;&gt;"",O31-B31,TODAY()-B31))</x:f>
      </x:c>
      <x:c r="S31" s="146" t="str">
        <x:f>IF(A31="","",IF(OR(E31="Critical",K31="Yes",AND(M31&lt;&gt;"Closed",N31&lt;TODAY())),"YES","NO"))</x:f>
      </x:c>
    </x:row>
    <x:row r="32">
      <x:c r="A32" s="140"/>
      <x:c r="B32" s="161"/>
      <x:c r="C32" s="140"/>
      <x:c r="D32" s="140"/>
      <x:c r="E32" s="140"/>
      <x:c r="F32" s="140"/>
      <x:c r="G32" s="140"/>
      <x:c r="H32" s="140"/>
      <x:c r="I32" s="164"/>
      <x:c r="J32" s="140"/>
      <x:c r="K32" s="140"/>
      <x:c r="L32" s="140"/>
      <x:c r="M32" s="140"/>
      <x:c r="N32" s="155"/>
      <x:c r="O32" s="155"/>
      <x:c r="P32" s="140"/>
      <x:c r="Q32" s="140"/>
      <x:c r="R32" s="151" t="str">
        <x:f>IF(B32="","",IF(O32&lt;&gt;"",O32-B32,TODAY()-B32))</x:f>
      </x:c>
      <x:c r="S32" s="146" t="str">
        <x:f>IF(A32="","",IF(OR(E32="Critical",K32="Yes",AND(M32&lt;&gt;"Closed",N32&lt;TODAY())),"YES","NO"))</x:f>
      </x:c>
    </x:row>
    <x:row r="33">
      <x:c r="A33" s="140"/>
      <x:c r="B33" s="161"/>
      <x:c r="C33" s="140"/>
      <x:c r="D33" s="140"/>
      <x:c r="E33" s="140"/>
      <x:c r="F33" s="140"/>
      <x:c r="G33" s="140"/>
      <x:c r="H33" s="140"/>
      <x:c r="I33" s="164"/>
      <x:c r="J33" s="140"/>
      <x:c r="K33" s="140"/>
      <x:c r="L33" s="140"/>
      <x:c r="M33" s="140"/>
      <x:c r="N33" s="155"/>
      <x:c r="O33" s="155"/>
      <x:c r="P33" s="140"/>
      <x:c r="Q33" s="140"/>
      <x:c r="R33" s="151" t="str">
        <x:f>IF(B33="","",IF(O33&lt;&gt;"",O33-B33,TODAY()-B33))</x:f>
      </x:c>
      <x:c r="S33" s="146" t="str">
        <x:f>IF(A33="","",IF(OR(E33="Critical",K33="Yes",AND(M33&lt;&gt;"Closed",N33&lt;TODAY())),"YES","NO"))</x:f>
      </x:c>
    </x:row>
    <x:row r="34">
      <x:c r="A34" s="140"/>
      <x:c r="B34" s="161"/>
      <x:c r="C34" s="140"/>
      <x:c r="D34" s="140"/>
      <x:c r="E34" s="140"/>
      <x:c r="F34" s="140"/>
      <x:c r="G34" s="140"/>
      <x:c r="H34" s="140"/>
      <x:c r="I34" s="164"/>
      <x:c r="J34" s="140"/>
      <x:c r="K34" s="140"/>
      <x:c r="L34" s="140"/>
      <x:c r="M34" s="140"/>
      <x:c r="N34" s="155"/>
      <x:c r="O34" s="155"/>
      <x:c r="P34" s="140"/>
      <x:c r="Q34" s="140"/>
      <x:c r="R34" s="151" t="str">
        <x:f>IF(B34="","",IF(O34&lt;&gt;"",O34-B34,TODAY()-B34))</x:f>
      </x:c>
      <x:c r="S34" s="146" t="str">
        <x:f>IF(A34="","",IF(OR(E34="Critical",K34="Yes",AND(M34&lt;&gt;"Closed",N34&lt;TODAY())),"YES","NO"))</x:f>
      </x:c>
    </x:row>
    <x:row r="35">
      <x:c r="A35" s="140"/>
      <x:c r="B35" s="161"/>
      <x:c r="C35" s="140"/>
      <x:c r="D35" s="140"/>
      <x:c r="E35" s="140"/>
      <x:c r="F35" s="140"/>
      <x:c r="G35" s="140"/>
      <x:c r="H35" s="140"/>
      <x:c r="I35" s="164"/>
      <x:c r="J35" s="140"/>
      <x:c r="K35" s="140"/>
      <x:c r="L35" s="140"/>
      <x:c r="M35" s="140"/>
      <x:c r="N35" s="155"/>
      <x:c r="O35" s="155"/>
      <x:c r="P35" s="140"/>
      <x:c r="Q35" s="140"/>
      <x:c r="R35" s="151" t="str">
        <x:f>IF(B35="","",IF(O35&lt;&gt;"",O35-B35,TODAY()-B35))</x:f>
      </x:c>
      <x:c r="S35" s="146" t="str">
        <x:f>IF(A35="","",IF(OR(E35="Critical",K35="Yes",AND(M35&lt;&gt;"Closed",N35&lt;TODAY())),"YES","NO"))</x:f>
      </x:c>
    </x:row>
    <x:row r="36">
      <x:c r="A36" s="140"/>
      <x:c r="B36" s="161"/>
      <x:c r="C36" s="140"/>
      <x:c r="D36" s="140"/>
      <x:c r="E36" s="140"/>
      <x:c r="F36" s="140"/>
      <x:c r="G36" s="140"/>
      <x:c r="H36" s="140"/>
      <x:c r="I36" s="164"/>
      <x:c r="J36" s="140"/>
      <x:c r="K36" s="140"/>
      <x:c r="L36" s="140"/>
      <x:c r="M36" s="140"/>
      <x:c r="N36" s="155"/>
      <x:c r="O36" s="155"/>
      <x:c r="P36" s="140"/>
      <x:c r="Q36" s="140"/>
      <x:c r="R36" s="151" t="str">
        <x:f>IF(B36="","",IF(O36&lt;&gt;"",O36-B36,TODAY()-B36))</x:f>
      </x:c>
      <x:c r="S36" s="146" t="str">
        <x:f>IF(A36="","",IF(OR(E36="Critical",K36="Yes",AND(M36&lt;&gt;"Closed",N36&lt;TODAY())),"YES","NO"))</x:f>
      </x:c>
    </x:row>
    <x:row r="37">
      <x:c r="A37" s="140"/>
      <x:c r="B37" s="161"/>
      <x:c r="C37" s="140"/>
      <x:c r="D37" s="140"/>
      <x:c r="E37" s="140"/>
      <x:c r="F37" s="140"/>
      <x:c r="G37" s="140"/>
      <x:c r="H37" s="140"/>
      <x:c r="I37" s="164"/>
      <x:c r="J37" s="140"/>
      <x:c r="K37" s="140"/>
      <x:c r="L37" s="140"/>
      <x:c r="M37" s="140"/>
      <x:c r="N37" s="155"/>
      <x:c r="O37" s="155"/>
      <x:c r="P37" s="140"/>
      <x:c r="Q37" s="140"/>
      <x:c r="R37" s="151" t="str">
        <x:f>IF(B37="","",IF(O37&lt;&gt;"",O37-B37,TODAY()-B37))</x:f>
      </x:c>
      <x:c r="S37" s="146" t="str">
        <x:f>IF(A37="","",IF(OR(E37="Critical",K37="Yes",AND(M37&lt;&gt;"Closed",N37&lt;TODAY())),"YES","NO"))</x:f>
      </x:c>
    </x:row>
    <x:row r="38">
      <x:c r="A38" s="140"/>
      <x:c r="B38" s="161"/>
      <x:c r="C38" s="140"/>
      <x:c r="D38" s="140"/>
      <x:c r="E38" s="140"/>
      <x:c r="F38" s="140"/>
      <x:c r="G38" s="140"/>
      <x:c r="H38" s="140"/>
      <x:c r="I38" s="164"/>
      <x:c r="J38" s="140"/>
      <x:c r="K38" s="140"/>
      <x:c r="L38" s="140"/>
      <x:c r="M38" s="140"/>
      <x:c r="N38" s="155"/>
      <x:c r="O38" s="155"/>
      <x:c r="P38" s="140"/>
      <x:c r="Q38" s="140"/>
      <x:c r="R38" s="151" t="str">
        <x:f>IF(B38="","",IF(O38&lt;&gt;"",O38-B38,TODAY()-B38))</x:f>
      </x:c>
      <x:c r="S38" s="146" t="str">
        <x:f>IF(A38="","",IF(OR(E38="Critical",K38="Yes",AND(M38&lt;&gt;"Closed",N38&lt;TODAY())),"YES","NO"))</x:f>
      </x:c>
    </x:row>
    <x:row r="39">
      <x:c r="A39" s="140"/>
      <x:c r="B39" s="161"/>
      <x:c r="C39" s="140"/>
      <x:c r="D39" s="140"/>
      <x:c r="E39" s="140"/>
      <x:c r="F39" s="140"/>
      <x:c r="G39" s="140"/>
      <x:c r="H39" s="140"/>
      <x:c r="I39" s="164"/>
      <x:c r="J39" s="140"/>
      <x:c r="K39" s="140"/>
      <x:c r="L39" s="140"/>
      <x:c r="M39" s="140"/>
      <x:c r="N39" s="155"/>
      <x:c r="O39" s="155"/>
      <x:c r="P39" s="140"/>
      <x:c r="Q39" s="140"/>
      <x:c r="R39" s="151" t="str">
        <x:f>IF(B39="","",IF(O39&lt;&gt;"",O39-B39,TODAY()-B39))</x:f>
      </x:c>
      <x:c r="S39" s="146" t="str">
        <x:f>IF(A39="","",IF(OR(E39="Critical",K39="Yes",AND(M39&lt;&gt;"Closed",N39&lt;TODAY())),"YES","NO"))</x:f>
      </x:c>
    </x:row>
    <x:row r="40">
      <x:c r="A40" s="140"/>
      <x:c r="B40" s="161"/>
      <x:c r="C40" s="140"/>
      <x:c r="D40" s="140"/>
      <x:c r="E40" s="140"/>
      <x:c r="F40" s="140"/>
      <x:c r="G40" s="140"/>
      <x:c r="H40" s="140"/>
      <x:c r="I40" s="164"/>
      <x:c r="J40" s="140"/>
      <x:c r="K40" s="140"/>
      <x:c r="L40" s="140"/>
      <x:c r="M40" s="140"/>
      <x:c r="N40" s="155"/>
      <x:c r="O40" s="155"/>
      <x:c r="P40" s="140"/>
      <x:c r="Q40" s="140"/>
      <x:c r="R40" s="151" t="str">
        <x:f>IF(B40="","",IF(O40&lt;&gt;"",O40-B40,TODAY()-B40))</x:f>
      </x:c>
      <x:c r="S40" s="146" t="str">
        <x:f>IF(A40="","",IF(OR(E40="Critical",K40="Yes",AND(M40&lt;&gt;"Closed",N40&lt;TODAY())),"YES","NO"))</x:f>
      </x:c>
    </x:row>
    <x:row r="41">
      <x:c r="A41" s="140"/>
      <x:c r="B41" s="161"/>
      <x:c r="C41" s="140"/>
      <x:c r="D41" s="140"/>
      <x:c r="E41" s="140"/>
      <x:c r="F41" s="140"/>
      <x:c r="G41" s="140"/>
      <x:c r="H41" s="140"/>
      <x:c r="I41" s="164"/>
      <x:c r="J41" s="140"/>
      <x:c r="K41" s="140"/>
      <x:c r="L41" s="140"/>
      <x:c r="M41" s="140"/>
      <x:c r="N41" s="155"/>
      <x:c r="O41" s="155"/>
      <x:c r="P41" s="140"/>
      <x:c r="Q41" s="140"/>
      <x:c r="R41" s="151" t="str">
        <x:f>IF(B41="","",IF(O41&lt;&gt;"",O41-B41,TODAY()-B41))</x:f>
      </x:c>
      <x:c r="S41" s="146" t="str">
        <x:f>IF(A41="","",IF(OR(E41="Critical",K41="Yes",AND(M41&lt;&gt;"Closed",N41&lt;TODAY())),"YES","NO"))</x:f>
      </x:c>
    </x:row>
    <x:row r="42">
      <x:c r="A42" s="140"/>
      <x:c r="B42" s="161"/>
      <x:c r="C42" s="140"/>
      <x:c r="D42" s="140"/>
      <x:c r="E42" s="140"/>
      <x:c r="F42" s="140"/>
      <x:c r="G42" s="140"/>
      <x:c r="H42" s="140"/>
      <x:c r="I42" s="164"/>
      <x:c r="J42" s="140"/>
      <x:c r="K42" s="140"/>
      <x:c r="L42" s="140"/>
      <x:c r="M42" s="140"/>
      <x:c r="N42" s="155"/>
      <x:c r="O42" s="155"/>
      <x:c r="P42" s="140"/>
      <x:c r="Q42" s="140"/>
      <x:c r="R42" s="151" t="str">
        <x:f>IF(B42="","",IF(O42&lt;&gt;"",O42-B42,TODAY()-B42))</x:f>
      </x:c>
      <x:c r="S42" s="146" t="str">
        <x:f>IF(A42="","",IF(OR(E42="Critical",K42="Yes",AND(M42&lt;&gt;"Closed",N42&lt;TODAY())),"YES","NO"))</x:f>
      </x:c>
    </x:row>
    <x:row r="43">
      <x:c r="A43" s="140"/>
      <x:c r="B43" s="161"/>
      <x:c r="C43" s="140"/>
      <x:c r="D43" s="140"/>
      <x:c r="E43" s="140"/>
      <x:c r="F43" s="140"/>
      <x:c r="G43" s="140"/>
      <x:c r="H43" s="140"/>
      <x:c r="I43" s="164"/>
      <x:c r="J43" s="140"/>
      <x:c r="K43" s="140"/>
      <x:c r="L43" s="140"/>
      <x:c r="M43" s="140"/>
      <x:c r="N43" s="155"/>
      <x:c r="O43" s="155"/>
      <x:c r="P43" s="140"/>
      <x:c r="Q43" s="140"/>
      <x:c r="R43" s="151" t="str">
        <x:f>IF(B43="","",IF(O43&lt;&gt;"",O43-B43,TODAY()-B43))</x:f>
      </x:c>
      <x:c r="S43" s="146" t="str">
        <x:f>IF(A43="","",IF(OR(E43="Critical",K43="Yes",AND(M43&lt;&gt;"Closed",N43&lt;TODAY())),"YES","NO"))</x:f>
      </x:c>
    </x:row>
    <x:row r="44">
      <x:c r="A44" s="140"/>
      <x:c r="B44" s="161"/>
      <x:c r="C44" s="140"/>
      <x:c r="D44" s="140"/>
      <x:c r="E44" s="140"/>
      <x:c r="F44" s="140"/>
      <x:c r="G44" s="140"/>
      <x:c r="H44" s="140"/>
      <x:c r="I44" s="164"/>
      <x:c r="J44" s="140"/>
      <x:c r="K44" s="140"/>
      <x:c r="L44" s="140"/>
      <x:c r="M44" s="140"/>
      <x:c r="N44" s="155"/>
      <x:c r="O44" s="155"/>
      <x:c r="P44" s="140"/>
      <x:c r="Q44" s="140"/>
      <x:c r="R44" s="151" t="str">
        <x:f>IF(B44="","",IF(O44&lt;&gt;"",O44-B44,TODAY()-B44))</x:f>
      </x:c>
      <x:c r="S44" s="146" t="str">
        <x:f>IF(A44="","",IF(OR(E44="Critical",K44="Yes",AND(M44&lt;&gt;"Closed",N44&lt;TODAY())),"YES","NO"))</x:f>
      </x:c>
    </x:row>
    <x:row r="45">
      <x:c r="A45" s="140"/>
      <x:c r="B45" s="161"/>
      <x:c r="C45" s="140"/>
      <x:c r="D45" s="140"/>
      <x:c r="E45" s="140"/>
      <x:c r="F45" s="140"/>
      <x:c r="G45" s="140"/>
      <x:c r="H45" s="140"/>
      <x:c r="I45" s="164"/>
      <x:c r="J45" s="140"/>
      <x:c r="K45" s="140"/>
      <x:c r="L45" s="140"/>
      <x:c r="M45" s="140"/>
      <x:c r="N45" s="155"/>
      <x:c r="O45" s="155"/>
      <x:c r="P45" s="140"/>
      <x:c r="Q45" s="140"/>
      <x:c r="R45" s="151" t="str">
        <x:f>IF(B45="","",IF(O45&lt;&gt;"",O45-B45,TODAY()-B45))</x:f>
      </x:c>
      <x:c r="S45" s="146" t="str">
        <x:f>IF(A45="","",IF(OR(E45="Critical",K45="Yes",AND(M45&lt;&gt;"Closed",N45&lt;TODAY())),"YES","NO"))</x:f>
      </x:c>
    </x:row>
    <x:row r="46">
      <x:c r="A46" s="140"/>
      <x:c r="B46" s="161"/>
      <x:c r="C46" s="140"/>
      <x:c r="D46" s="140"/>
      <x:c r="E46" s="140"/>
      <x:c r="F46" s="140"/>
      <x:c r="G46" s="140"/>
      <x:c r="H46" s="140"/>
      <x:c r="I46" s="164"/>
      <x:c r="J46" s="140"/>
      <x:c r="K46" s="140"/>
      <x:c r="L46" s="140"/>
      <x:c r="M46" s="140"/>
      <x:c r="N46" s="155"/>
      <x:c r="O46" s="155"/>
      <x:c r="P46" s="140"/>
      <x:c r="Q46" s="140"/>
      <x:c r="R46" s="151" t="str">
        <x:f>IF(B46="","",IF(O46&lt;&gt;"",O46-B46,TODAY()-B46))</x:f>
      </x:c>
      <x:c r="S46" s="146" t="str">
        <x:f>IF(A46="","",IF(OR(E46="Critical",K46="Yes",AND(M46&lt;&gt;"Closed",N46&lt;TODAY())),"YES","NO"))</x:f>
      </x:c>
    </x:row>
    <x:row r="47">
      <x:c r="A47" s="141"/>
      <x:c r="B47" s="162"/>
      <x:c r="C47" s="141"/>
      <x:c r="D47" s="141"/>
      <x:c r="E47" s="141"/>
      <x:c r="F47" s="141"/>
      <x:c r="G47" s="141"/>
      <x:c r="H47" s="141"/>
      <x:c r="I47" s="165"/>
      <x:c r="J47" s="141"/>
      <x:c r="K47" s="141"/>
      <x:c r="L47" s="141"/>
      <x:c r="M47" s="141"/>
      <x:c r="N47" s="156"/>
      <x:c r="O47" s="156"/>
      <x:c r="P47" s="141"/>
      <x:c r="Q47" s="141"/>
      <x:c r="R47" s="153" t="str">
        <x:f>IF(B47="","",IF(O47&lt;&gt;"",O47-B47,TODAY()-B47))</x:f>
      </x:c>
      <x:c r="S47" s="147" t="str">
        <x:f>IF(A47="","",IF(OR(E47="Critical",K47="Yes",AND(M47&lt;&gt;"Closed",N47&lt;TODAY())),"YES","NO"))</x:f>
      </x:c>
    </x:row>
  </x:sheetData>
  <x:mergeCells>
    <x:mergeCell ref="A1:S1"/>
    <x:mergeCell ref="A2:S2"/>
    <x:mergeCell ref="A4:C4"/>
    <x:mergeCell ref="A5:C5"/>
    <x:mergeCell ref="E4:G4"/>
    <x:mergeCell ref="E5:G5"/>
    <x:mergeCell ref="I4:K4"/>
    <x:mergeCell ref="I5:K5"/>
    <x:mergeCell ref="M4:O4"/>
    <x:mergeCell ref="M5:O5"/>
  </x:mergeCells>
  <x:conditionalFormatting sqref="S8:S47">
    <x:cfRule type="containsText" dxfId="5" priority="1" operator="containsText" text="YES"/>
    <x:cfRule type="containsText" dxfId="6" priority="2" operator="containsText" text="NO"/>
  </x:conditionalFormatting>
  <x:conditionalFormatting sqref="E8:E47">
    <x:cfRule type="containsText" dxfId="7" priority="3" operator="containsText" text="Critical"/>
    <x:cfRule type="containsText" dxfId="8" priority="4" operator="containsText" text="High"/>
    <x:cfRule type="containsText" dxfId="9" priority="5" operator="containsText" text="Medium"/>
  </x:conditionalFormatting>
  <x:dataValidations count="5">
    <x:dataValidation type="list" sqref="D8:D47">
      <x:formula1>"Data / reporting,Process failure,System outage,Cyber / information security,Customer outcome,Financial loss,Third party,People / conduct,Other"</x:formula1>
    </x:dataValidation>
    <x:dataValidation type="list" sqref="E8:E47">
      <x:formula1>"Low,Medium,High,Critical"</x:formula1>
    </x:dataValidation>
    <x:dataValidation type="list" sqref="J8:J47">
      <x:formula1>"No,Potential,Yes"</x:formula1>
    </x:dataValidation>
    <x:dataValidation type="list" sqref="K8:K47">
      <x:formula1>"No,Under assessment,Yes"</x:formula1>
    </x:dataValidation>
    <x:dataValidation type="list" sqref="M8:M47">
      <x:formula1>"Open,In progress,Monitoring,Closed"</x:formula1>
    </x:dataValidation>
  </x:dataValidations>
  <x:pageMargins left="0.7" right="0.7" top="0.75" bottom="0.75" header="0.3" footer="0.3"/>
  <x:drawing xmlns:r="http://schemas.openxmlformats.org/officeDocument/2006/relationships" r:id="R899d5b8cff5d41ad"/>
  <x:tableParts count="1">
    <x:tablePart xmlns:r="http://schemas.openxmlformats.org/officeDocument/2006/relationships" r:id="R558f1c9b86754eff"/>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8" max="8" width="10" hidden="0" customWidth="1"/>
    <x:col min="9" max="9" width="17" hidden="0" customWidth="1"/>
    <x:col min="10" max="10" width="16" hidden="0" customWidth="1"/>
    <x:col min="11" max="11" width="16" hidden="0" customWidth="1"/>
    <x:col min="12" max="12" width="16" hidden="0" customWidth="1"/>
  </x:cols>
  <x:sheetData>
    <x:row r="1" ht="34" customHeight="1">
      <x:c r="A1" s="3" t="str">
        <x:v>5×5 Probability × Impact Risk Matrix</x:v>
      </x:c>
      <x:c r="B1" s="3"/>
      <x:c r="C1" s="3"/>
      <x:c r="D1" s="3"/>
      <x:c r="E1" s="3"/>
      <x:c r="F1" s="3"/>
      <x:c r="G1" s="3"/>
      <x:c r="H1" s="3"/>
      <x:c r="I1" s="3"/>
      <x:c r="J1" s="3"/>
      <x:c r="K1" s="3"/>
      <x:c r="L1" s="3"/>
    </x:row>
    <x:row r="2" ht="30" customHeight="1">
      <x:c r="A2" s="7" t="str">
        <x:v>Scores are likelihood × impact. Calibrate definitions, thresholds and escalation rules to your approved risk appetite.</x:v>
      </x:c>
      <x:c r="B2" s="7"/>
      <x:c r="C2" s="7"/>
      <x:c r="D2" s="7"/>
      <x:c r="E2" s="7"/>
      <x:c r="F2" s="7"/>
      <x:c r="G2" s="7"/>
      <x:c r="H2" s="7"/>
      <x:c r="I2" s="7"/>
      <x:c r="J2" s="7"/>
      <x:c r="K2" s="7"/>
      <x:c r="L2" s="7"/>
    </x:row>
    <x:row r="4">
      <x:c r="A4" s="167" t="str">
        <x:v>Impact →</x:v>
      </x:c>
      <x:c r="B4" s="167"/>
      <x:c r="C4" s="167"/>
      <x:c r="D4" s="167"/>
      <x:c r="E4" s="167"/>
      <x:c r="F4" s="167"/>
      <x:c r="H4" s="174" t="str">
        <x:v>Illustrative score bands</x:v>
      </x:c>
      <x:c r="I4" s="174"/>
      <x:c r="J4" s="174"/>
      <x:c r="K4" s="174"/>
      <x:c r="L4" s="174"/>
    </x:row>
    <x:row r="5" ht="40" customHeight="1">
      <x:c r="A5" s="172" t="str">
        <x:v>Likelihood ↓</x:v>
      </x:c>
      <x:c r="B5" s="172" t="n">
        <x:v>1</x:v>
      </x:c>
      <x:c r="C5" s="172" t="n">
        <x:v>2</x:v>
      </x:c>
      <x:c r="D5" s="172" t="n">
        <x:v>3</x:v>
      </x:c>
      <x:c r="E5" s="172" t="n">
        <x:v>4</x:v>
      </x:c>
      <x:c r="F5" s="172" t="n">
        <x:v>5</x:v>
      </x:c>
      <x:c r="H5" s="180" t="str">
        <x:v>1–4</x:v>
      </x:c>
      <x:c r="I5" s="181" t="str">
        <x:v>Low</x:v>
      </x:c>
    </x:row>
    <x:row r="6" ht="40" customHeight="1">
      <x:c r="A6" s="172" t="n">
        <x:v>5</x:v>
      </x:c>
      <x:c r="B6" s="173" t="n">
        <x:f>$A6*B$5</x:f>
        <x:v>5</x:v>
      </x:c>
      <x:c r="C6" s="173" t="n">
        <x:f>$A6*C$5</x:f>
        <x:v>10</x:v>
      </x:c>
      <x:c r="D6" s="173" t="n">
        <x:f>$A6*D$5</x:f>
        <x:v>15</x:v>
      </x:c>
      <x:c r="E6" s="173" t="n">
        <x:f>$A6*E$5</x:f>
        <x:v>20</x:v>
      </x:c>
      <x:c r="F6" s="173" t="n">
        <x:f>$A6*F$5</x:f>
        <x:v>25</x:v>
      </x:c>
      <x:c r="H6" s="180" t="str">
        <x:v>5–9</x:v>
      </x:c>
      <x:c r="I6" s="182" t="str">
        <x:v>Moderate</x:v>
      </x:c>
    </x:row>
    <x:row r="7" ht="40" customHeight="1">
      <x:c r="A7" s="172" t="n">
        <x:v>4</x:v>
      </x:c>
      <x:c r="B7" s="173" t="n">
        <x:f>$A7*B$5</x:f>
        <x:v>4</x:v>
      </x:c>
      <x:c r="C7" s="173" t="n">
        <x:f>$A7*C$5</x:f>
        <x:v>8</x:v>
      </x:c>
      <x:c r="D7" s="173" t="n">
        <x:f>$A7*D$5</x:f>
        <x:v>12</x:v>
      </x:c>
      <x:c r="E7" s="173" t="n">
        <x:f>$A7*E$5</x:f>
        <x:v>16</x:v>
      </x:c>
      <x:c r="F7" s="173" t="n">
        <x:f>$A7*F$5</x:f>
        <x:v>20</x:v>
      </x:c>
      <x:c r="H7" s="180" t="str">
        <x:v>10–14</x:v>
      </x:c>
      <x:c r="I7" s="183" t="str">
        <x:v>High</x:v>
      </x:c>
    </x:row>
    <x:row r="8" ht="40" customHeight="1">
      <x:c r="A8" s="172" t="n">
        <x:v>3</x:v>
      </x:c>
      <x:c r="B8" s="173" t="n">
        <x:f>$A8*B$5</x:f>
        <x:v>3</x:v>
      </x:c>
      <x:c r="C8" s="173" t="n">
        <x:f>$A8*C$5</x:f>
        <x:v>6</x:v>
      </x:c>
      <x:c r="D8" s="173" t="n">
        <x:f>$A8*D$5</x:f>
        <x:v>9</x:v>
      </x:c>
      <x:c r="E8" s="173" t="n">
        <x:f>$A8*E$5</x:f>
        <x:v>12</x:v>
      </x:c>
      <x:c r="F8" s="173" t="n">
        <x:f>$A8*F$5</x:f>
        <x:v>15</x:v>
      </x:c>
      <x:c r="H8" s="180" t="str">
        <x:v>15–25</x:v>
      </x:c>
      <x:c r="I8" s="184" t="str">
        <x:v>Severe</x:v>
      </x:c>
    </x:row>
    <x:row r="9" ht="40" customHeight="1">
      <x:c r="A9" s="172" t="n">
        <x:v>2</x:v>
      </x:c>
      <x:c r="B9" s="173" t="n">
        <x:f>$A9*B$5</x:f>
        <x:v>2</x:v>
      </x:c>
      <x:c r="C9" s="173" t="n">
        <x:f>$A9*C$5</x:f>
        <x:v>4</x:v>
      </x:c>
      <x:c r="D9" s="173" t="n">
        <x:f>$A9*D$5</x:f>
        <x:v>6</x:v>
      </x:c>
      <x:c r="E9" s="173" t="n">
        <x:f>$A9*E$5</x:f>
        <x:v>8</x:v>
      </x:c>
      <x:c r="F9" s="173" t="n">
        <x:f>$A9*F$5</x:f>
        <x:v>10</x:v>
      </x:c>
    </x:row>
    <x:row r="10" ht="40" customHeight="1">
      <x:c r="A10" s="172" t="n">
        <x:v>1</x:v>
      </x:c>
      <x:c r="B10" s="173" t="n">
        <x:f>$A10*B$5</x:f>
        <x:v>1</x:v>
      </x:c>
      <x:c r="C10" s="173" t="n">
        <x:f>$A10*C$5</x:f>
        <x:v>2</x:v>
      </x:c>
      <x:c r="D10" s="173" t="n">
        <x:f>$A10*D$5</x:f>
        <x:v>3</x:v>
      </x:c>
      <x:c r="E10" s="173" t="n">
        <x:f>$A10*E$5</x:f>
        <x:v>4</x:v>
      </x:c>
      <x:c r="F10" s="173" t="n">
        <x:f>$A10*F$5</x:f>
        <x:v>5</x:v>
      </x:c>
      <x:c r="H10" s="185" t="str">
        <x:v>Likelihood calibration</x:v>
      </x:c>
      <x:c r="I10" s="185"/>
      <x:c r="J10" s="185"/>
      <x:c r="K10" s="185"/>
      <x:c r="L10" s="185"/>
    </x:row>
    <x:row r="11" ht="30" customHeight="1">
      <x:c r="H11" s="195" t="n">
        <x:v>1</x:v>
      </x:c>
      <x:c r="I11" s="196" t="str">
        <x:v>Rare</x:v>
      </x:c>
      <x:c r="J11" s="196" t="str">
        <x:v>Exceptional; not expected in normal planning horizon</x:v>
      </x:c>
      <x:c r="K11" s="196"/>
      <x:c r="L11" s="197"/>
    </x:row>
    <x:row r="12" ht="30" customHeight="1">
      <x:c r="H12" s="198" t="n">
        <x:v>2</x:v>
      </x:c>
      <x:c r="I12" s="199" t="str">
        <x:v>Unlikely</x:v>
      </x:c>
      <x:c r="J12" s="199" t="str">
        <x:v>Could occur, but limited evidence or precedent</x:v>
      </x:c>
      <x:c r="K12" s="199"/>
      <x:c r="L12" s="200"/>
    </x:row>
    <x:row r="13" ht="30" customHeight="1">
      <x:c r="H13" s="198" t="n">
        <x:v>3</x:v>
      </x:c>
      <x:c r="I13" s="199" t="str">
        <x:v>Possible</x:v>
      </x:c>
      <x:c r="J13" s="199" t="str">
        <x:v>Plausible during the planning horizon</x:v>
      </x:c>
      <x:c r="K13" s="199"/>
      <x:c r="L13" s="200"/>
    </x:row>
    <x:row r="14" ht="30" customHeight="1">
      <x:c r="H14" s="198" t="n">
        <x:v>4</x:v>
      </x:c>
      <x:c r="I14" s="199" t="str">
        <x:v>Likely</x:v>
      </x:c>
      <x:c r="J14" s="199" t="str">
        <x:v>Expected to occur in many circumstances</x:v>
      </x:c>
      <x:c r="K14" s="199"/>
      <x:c r="L14" s="200"/>
    </x:row>
    <x:row r="15" ht="30" customHeight="1">
      <x:c r="H15" s="201" t="n">
        <x:v>5</x:v>
      </x:c>
      <x:c r="I15" s="202" t="str">
        <x:v>Almost certain</x:v>
      </x:c>
      <x:c r="J15" s="202" t="str">
        <x:v>Frequent or already occurring</x:v>
      </x:c>
      <x:c r="K15" s="202"/>
      <x:c r="L15" s="203"/>
    </x:row>
    <x:row r="17">
      <x:c r="H17" s="185" t="str">
        <x:v>Impact calibration</x:v>
      </x:c>
      <x:c r="I17" s="185"/>
      <x:c r="J17" s="185"/>
      <x:c r="K17" s="185"/>
      <x:c r="L17" s="185"/>
    </x:row>
    <x:row r="18" ht="30" customHeight="1">
      <x:c r="H18" s="195" t="n">
        <x:v>1</x:v>
      </x:c>
      <x:c r="I18" s="196" t="str">
        <x:v>Insignificant</x:v>
      </x:c>
      <x:c r="J18" s="196" t="str">
        <x:v>Minimal customer, financial, regulatory or operational effect</x:v>
      </x:c>
      <x:c r="K18" s="196"/>
      <x:c r="L18" s="197"/>
    </x:row>
    <x:row r="19" ht="30" customHeight="1">
      <x:c r="H19" s="198" t="n">
        <x:v>2</x:v>
      </x:c>
      <x:c r="I19" s="199" t="str">
        <x:v>Minor</x:v>
      </x:c>
      <x:c r="J19" s="199" t="str">
        <x:v>Contained impact; local management action</x:v>
      </x:c>
      <x:c r="K19" s="199"/>
      <x:c r="L19" s="200"/>
    </x:row>
    <x:row r="20" ht="30" customHeight="1">
      <x:c r="H20" s="198" t="n">
        <x:v>3</x:v>
      </x:c>
      <x:c r="I20" s="199" t="str">
        <x:v>Moderate</x:v>
      </x:c>
      <x:c r="J20" s="199" t="str">
        <x:v>Material disruption or loss; senior management attention</x:v>
      </x:c>
      <x:c r="K20" s="199"/>
      <x:c r="L20" s="200"/>
    </x:row>
    <x:row r="21" ht="30" customHeight="1">
      <x:c r="H21" s="198" t="n">
        <x:v>4</x:v>
      </x:c>
      <x:c r="I21" s="199" t="str">
        <x:v>Major</x:v>
      </x:c>
      <x:c r="J21" s="199" t="str">
        <x:v>Significant customer, regulatory, financial or resilience impact</x:v>
      </x:c>
      <x:c r="K21" s="199"/>
      <x:c r="L21" s="200"/>
    </x:row>
    <x:row r="22" ht="30" customHeight="1">
      <x:c r="H22" s="201" t="n">
        <x:v>5</x:v>
      </x:c>
      <x:c r="I22" s="202" t="str">
        <x:v>Severe</x:v>
      </x:c>
      <x:c r="J22" s="202" t="str">
        <x:v>Threat to viability, licence, customers or critical services</x:v>
      </x:c>
      <x:c r="K22" s="202"/>
      <x:c r="L22" s="203"/>
    </x:row>
    <x:row r="25">
      <x:c r="A25" s="83" t="str">
        <x:v>Governance note: A numerical score supports consistency; it does not replace judgement. Consider velocity, persistence, interconnectedness, control confidence, data quality and the difference between risk capacity, appetite and limits.</x:v>
      </x:c>
      <x:c r="B25" s="84"/>
      <x:c r="C25" s="84"/>
      <x:c r="D25" s="84"/>
      <x:c r="E25" s="84"/>
      <x:c r="F25" s="84"/>
      <x:c r="G25" s="84"/>
      <x:c r="H25" s="84"/>
      <x:c r="I25" s="84"/>
      <x:c r="J25" s="84"/>
      <x:c r="K25" s="84"/>
      <x:c r="L25" s="85"/>
    </x:row>
    <x:row r="26">
      <x:c r="A26" s="86"/>
      <x:c r="B26" s="87"/>
      <x:c r="C26" s="87"/>
      <x:c r="D26" s="87"/>
      <x:c r="E26" s="87"/>
      <x:c r="F26" s="87"/>
      <x:c r="G26" s="87"/>
      <x:c r="H26" s="87"/>
      <x:c r="I26" s="87"/>
      <x:c r="J26" s="87"/>
      <x:c r="K26" s="87"/>
      <x:c r="L26" s="88"/>
    </x:row>
    <x:row r="27">
      <x:c r="A27" s="89"/>
      <x:c r="B27" s="90"/>
      <x:c r="C27" s="90"/>
      <x:c r="D27" s="90"/>
      <x:c r="E27" s="90"/>
      <x:c r="F27" s="90"/>
      <x:c r="G27" s="90"/>
      <x:c r="H27" s="90"/>
      <x:c r="I27" s="90"/>
      <x:c r="J27" s="90"/>
      <x:c r="K27" s="90"/>
      <x:c r="L27" s="91"/>
    </x:row>
  </x:sheetData>
  <x:mergeCells>
    <x:mergeCell ref="A1:L1"/>
    <x:mergeCell ref="A2:L2"/>
    <x:mergeCell ref="A4:F4"/>
    <x:mergeCell ref="H4:L4"/>
    <x:mergeCell ref="H10:L10"/>
    <x:mergeCell ref="J11:L11"/>
    <x:mergeCell ref="J12:L12"/>
    <x:mergeCell ref="J13:L13"/>
    <x:mergeCell ref="J14:L14"/>
    <x:mergeCell ref="J15:L15"/>
    <x:mergeCell ref="H17:L17"/>
    <x:mergeCell ref="J18:L18"/>
    <x:mergeCell ref="J19:L19"/>
    <x:mergeCell ref="J20:L20"/>
    <x:mergeCell ref="J21:L21"/>
    <x:mergeCell ref="J22:L22"/>
    <x:mergeCell ref="A25:L27"/>
  </x:mergeCells>
  <x:conditionalFormatting sqref="B6:F10">
    <x:cfRule type="cellIs" dxfId="10" priority="1" operator="lessThanOrEqual">
      <x:formula>4</x:formula>
    </x:cfRule>
    <x:cfRule type="cellIs" dxfId="11" priority="2" operator="between">
      <x:formula>5</x:formula>
      <x:formula>9</x:formula>
    </x:cfRule>
    <x:cfRule type="cellIs" dxfId="12" priority="3" operator="between">
      <x:formula>10</x:formula>
      <x:formula>14</x:formula>
    </x:cfRule>
    <x:cfRule type="cellIs" dxfId="13" priority="4" operator="greaterThanOrEqual">
      <x:formula>15</x:formula>
    </x:cfRule>
  </x:conditionalFormatting>
  <x:pageMargins left="0.7" right="0.7" top="0.75" bottom="0.75" header="0.3" footer="0.3"/>
  <x:drawing xmlns:r="http://schemas.openxmlformats.org/officeDocument/2006/relationships" r:id="R4e3c9da044734f93"/>
</x:worksheet>
</file>

<file path=xl/worksheets/sheet5.xml><?xml version="1.0" encoding="utf-8"?>
<x:worksheet xmlns:x="http://schemas.openxmlformats.org/spreadsheetml/2006/main">
  <x:sheetViews>
    <x:sheetView showGridLines="0" workbookViewId="0"/>
  </x:sheetViews>
  <x:sheetFormatPr defaultRowHeight="15"/>
  <x:cols>
    <x:col min="1" max="1" width="17" hidden="0" customWidth="1"/>
    <x:col min="2" max="2" width="28" hidden="0" customWidth="1"/>
    <x:col min="3" max="3" width="11" hidden="0" customWidth="1"/>
    <x:col min="4" max="4" width="17" hidden="0" customWidth="1"/>
    <x:col min="5" max="5" width="21" hidden="0" customWidth="1"/>
    <x:col min="6" max="6" width="12" hidden="0" customWidth="1"/>
    <x:col min="7" max="7" width="14" hidden="0" customWidth="1"/>
    <x:col min="8" max="8" width="14" hidden="0" customWidth="1"/>
    <x:col min="9" max="9" width="14" hidden="0" customWidth="1"/>
    <x:col min="10" max="10" width="14" hidden="0" customWidth="1"/>
    <x:col min="11" max="11" width="14" hidden="0" customWidth="1"/>
    <x:col min="12" max="12" width="10" hidden="0" customWidth="1"/>
    <x:col min="13" max="13" width="11" hidden="0" customWidth="1"/>
    <x:col min="14" max="14" width="38" hidden="0" customWidth="1"/>
    <x:col min="15" max="15" width="13" hidden="0" customWidth="1"/>
  </x:cols>
  <x:sheetData>
    <x:row r="1" ht="34" customHeight="1">
      <x:c r="A1" s="3" t="str">
        <x:v>Key Risk Indicator Monitoring</x:v>
      </x:c>
      <x:c r="B1" s="3"/>
      <x:c r="C1" s="3"/>
      <x:c r="D1" s="3"/>
      <x:c r="E1" s="3"/>
      <x:c r="F1" s="3"/>
      <x:c r="G1" s="3"/>
      <x:c r="H1" s="3"/>
      <x:c r="I1" s="3"/>
      <x:c r="J1" s="3"/>
      <x:c r="K1" s="3"/>
      <x:c r="L1" s="3"/>
      <x:c r="M1" s="3"/>
      <x:c r="N1" s="3"/>
      <x:c r="O1" s="3"/>
    </x:row>
    <x:row r="2" ht="30" customHeight="1">
      <x:c r="A2" s="7" t="str">
        <x:v>Set direction-aware thresholds, explain exceptions and evidence management action. Status and trend are formula-driven.</x:v>
      </x:c>
      <x:c r="B2" s="7"/>
      <x:c r="C2" s="7"/>
      <x:c r="D2" s="7"/>
      <x:c r="E2" s="7"/>
      <x:c r="F2" s="7"/>
      <x:c r="G2" s="7"/>
      <x:c r="H2" s="7"/>
      <x:c r="I2" s="7"/>
      <x:c r="J2" s="7"/>
      <x:c r="K2" s="7"/>
      <x:c r="L2" s="7"/>
      <x:c r="M2" s="7"/>
      <x:c r="N2" s="7"/>
      <x:c r="O2" s="7"/>
    </x:row>
    <x:row r="5" ht="32" customHeight="1">
      <x:c r="A5" s="126" t="str">
        <x:v>Risk area</x:v>
      </x:c>
      <x:c r="B5" s="127" t="str">
        <x:v>KRI</x:v>
      </x:c>
      <x:c r="C5" s="127" t="str">
        <x:v>Unit</x:v>
      </x:c>
      <x:c r="D5" s="127" t="str">
        <x:v>Direction</x:v>
      </x:c>
      <x:c r="E5" s="127" t="str">
        <x:v>Owner</x:v>
      </x:c>
      <x:c r="F5" s="127" t="str">
        <x:v>Frequency</x:v>
      </x:c>
      <x:c r="G5" s="127" t="str">
        <x:v>Green threshold</x:v>
      </x:c>
      <x:c r="H5" s="127" t="str">
        <x:v>Amber threshold</x:v>
      </x:c>
      <x:c r="I5" s="127" t="str">
        <x:v>Red threshold</x:v>
      </x:c>
      <x:c r="J5" s="127" t="str">
        <x:v>Current value</x:v>
      </x:c>
      <x:c r="K5" s="127" t="str">
        <x:v>Prior value</x:v>
      </x:c>
      <x:c r="L5" s="127" t="str">
        <x:v>Trend</x:v>
      </x:c>
      <x:c r="M5" s="127" t="str">
        <x:v>Status</x:v>
      </x:c>
      <x:c r="N5" s="127" t="str">
        <x:v>Management commentary</x:v>
      </x:c>
      <x:c r="O5" s="128" t="str">
        <x:v>As-of date</x:v>
      </x:c>
    </x:row>
    <x:row r="6">
      <x:c r="A6" s="139" t="str">
        <x:v>Liquidity</x:v>
      </x:c>
      <x:c r="B6" s="139" t="str">
        <x:v>Survival horizon</x:v>
      </x:c>
      <x:c r="C6" s="139" t="str">
        <x:v>Days</x:v>
      </x:c>
      <x:c r="D6" s="139" t="str">
        <x:v>Higher is better</x:v>
      </x:c>
      <x:c r="E6" s="139" t="str">
        <x:v>Head of Treasury</x:v>
      </x:c>
      <x:c r="F6" s="139" t="str">
        <x:v>Daily</x:v>
      </x:c>
      <x:c r="G6" s="204" t="n">
        <x:v>60</x:v>
      </x:c>
      <x:c r="H6" s="204" t="n">
        <x:v>45</x:v>
      </x:c>
      <x:c r="I6" s="204" t="n">
        <x:v>30</x:v>
      </x:c>
      <x:c r="J6" s="204" t="n">
        <x:v>52</x:v>
      </x:c>
      <x:c r="K6" s="204" t="n">
        <x:v>58</x:v>
      </x:c>
      <x:c r="L6" s="145" t="str">
        <x:f>IF(A6="","",IF(J6&gt;K6,"▲",IF(J6&lt;K6,"▼","●")))</x:f>
        <x:v>▼</x:v>
      </x:c>
      <x:c r="M6" s="145" t="str">
        <x:f>IF(A6="","",IF(D6="Lower is better",IF(J6&gt;=I6,"Red",IF(J6&gt;=H6,"Amber","Green")),IF(J6&lt;=I6,"Red",IF(J6&lt;=H6,"Amber","Green"))))</x:f>
        <x:v>Green</x:v>
      </x:c>
      <x:c r="N6" s="139" t="str">
        <x:v>Funding diversification action in progress; no limit breach.</x:v>
      </x:c>
      <x:c r="O6" s="154" t="n">
        <x:v>46262</x:v>
      </x:c>
    </x:row>
    <x:row r="7">
      <x:c r="A7" s="140" t="str">
        <x:v>Credit</x:v>
      </x:c>
      <x:c r="B7" s="140" t="str">
        <x:v>Top-5 counterparty concentration</x:v>
      </x:c>
      <x:c r="C7" s="140" t="str">
        <x:v>%</x:v>
      </x:c>
      <x:c r="D7" s="140" t="str">
        <x:v>Lower is better</x:v>
      </x:c>
      <x:c r="E7" s="140" t="str">
        <x:v>Head of Credit Risk</x:v>
      </x:c>
      <x:c r="F7" s="140" t="str">
        <x:v>Daily</x:v>
      </x:c>
      <x:c r="G7" s="205" t="n">
        <x:v>0.45</x:v>
      </x:c>
      <x:c r="H7" s="205" t="n">
        <x:v>0.55</x:v>
      </x:c>
      <x:c r="I7" s="205" t="n">
        <x:v>0.65</x:v>
      </x:c>
      <x:c r="J7" s="205" t="n">
        <x:v>0.58</x:v>
      </x:c>
      <x:c r="K7" s="205" t="n">
        <x:v>0.52</x:v>
      </x:c>
      <x:c r="L7" s="146" t="str">
        <x:f>IF(A7="","",IF(J7&gt;K7,"▲",IF(J7&lt;K7,"▼","●")))</x:f>
        <x:v>▲</x:v>
      </x:c>
      <x:c r="M7" s="146" t="str">
        <x:f>IF(A7="","",IF(D7="Lower is better",IF(J7&gt;=I7,"Red",IF(J7&gt;=H7,"Amber","Green")),IF(J7&lt;=I7,"Red",IF(J7&lt;=H7,"Amber","Green"))))</x:f>
        <x:v>Amber</x:v>
      </x:c>
      <x:c r="N7" s="140" t="str">
        <x:v>Two counterparties increased following market volatility; limit review opened.</x:v>
      </x:c>
      <x:c r="O7" s="155" t="n">
        <x:v>46262</x:v>
      </x:c>
    </x:row>
    <x:row r="8">
      <x:c r="A8" s="140" t="str">
        <x:v>Operational</x:v>
      </x:c>
      <x:c r="B8" s="140" t="str">
        <x:v>Open high-severity incidents</x:v>
      </x:c>
      <x:c r="C8" s="140" t="str">
        <x:v>Count</x:v>
      </x:c>
      <x:c r="D8" s="140" t="str">
        <x:v>Lower is better</x:v>
      </x:c>
      <x:c r="E8" s="140" t="str">
        <x:v>COO</x:v>
      </x:c>
      <x:c r="F8" s="140" t="str">
        <x:v>Weekly</x:v>
      </x:c>
      <x:c r="G8" s="206" t="n">
        <x:v>1</x:v>
      </x:c>
      <x:c r="H8" s="206" t="n">
        <x:v>3</x:v>
      </x:c>
      <x:c r="I8" s="206" t="n">
        <x:v>5</x:v>
      </x:c>
      <x:c r="J8" s="206" t="n">
        <x:v>4</x:v>
      </x:c>
      <x:c r="K8" s="206" t="n">
        <x:v>2</x:v>
      </x:c>
      <x:c r="L8" s="146" t="str">
        <x:f>IF(A8="","",IF(J8&gt;K8,"▲",IF(J8&lt;K8,"▼","●")))</x:f>
        <x:v>▲</x:v>
      </x:c>
      <x:c r="M8" s="146" t="str">
        <x:f>IF(A8="","",IF(D8="Lower is better",IF(J8&gt;=I8,"Red",IF(J8&gt;=H8,"Amber","Green")),IF(J8&lt;=I8,"Red",IF(J8&lt;=H8,"Amber","Green"))))</x:f>
        <x:v>Amber</x:v>
      </x:c>
      <x:c r="N8" s="140" t="str">
        <x:v>One incident expected to close this week; root-cause actions tracked.</x:v>
      </x:c>
      <x:c r="O8" s="155" t="n">
        <x:v>46262</x:v>
      </x:c>
    </x:row>
    <x:row r="9">
      <x:c r="A9" s="140" t="str">
        <x:v>Technology</x:v>
      </x:c>
      <x:c r="B9" s="140" t="str">
        <x:v>Critical-service availability</x:v>
      </x:c>
      <x:c r="C9" s="140" t="str">
        <x:v>%</x:v>
      </x:c>
      <x:c r="D9" s="140" t="str">
        <x:v>Higher is better</x:v>
      </x:c>
      <x:c r="E9" s="140" t="str">
        <x:v>CTO</x:v>
      </x:c>
      <x:c r="F9" s="140" t="str">
        <x:v>Daily</x:v>
      </x:c>
      <x:c r="G9" s="207" t="n">
        <x:v>0.999</x:v>
      </x:c>
      <x:c r="H9" s="207" t="n">
        <x:v>0.995</x:v>
      </x:c>
      <x:c r="I9" s="207" t="n">
        <x:v>0.99</x:v>
      </x:c>
      <x:c r="J9" s="207" t="n">
        <x:v>0.996</x:v>
      </x:c>
      <x:c r="K9" s="207" t="n">
        <x:v>0.998</x:v>
      </x:c>
      <x:c r="L9" s="146" t="str">
        <x:f>IF(A9="","",IF(J9&gt;K9,"▲",IF(J9&lt;K9,"▼","●")))</x:f>
        <x:v>▼</x:v>
      </x:c>
      <x:c r="M9" s="146" t="str">
        <x:f>IF(A9="","",IF(D9="Lower is better",IF(J9&gt;=I9,"Red",IF(J9&gt;=H9,"Amber","Green")),IF(J9&lt;=I9,"Red",IF(J9&lt;=H9,"Amber","Green"))))</x:f>
        <x:v>Green</x:v>
      </x:c>
      <x:c r="N9" s="140" t="str">
        <x:v>Service restored; post-incident testing completed.</x:v>
      </x:c>
      <x:c r="O9" s="155" t="n">
        <x:v>46262</x:v>
      </x:c>
    </x:row>
    <x:row r="10">
      <x:c r="A10" s="140" t="str">
        <x:v>Regulatory reporting</x:v>
      </x:c>
      <x:c r="B10" s="140" t="str">
        <x:v>Unreconciled material exceptions</x:v>
      </x:c>
      <x:c r="C10" s="140" t="str">
        <x:v>Count</x:v>
      </x:c>
      <x:c r="D10" s="140" t="str">
        <x:v>Lower is better</x:v>
      </x:c>
      <x:c r="E10" s="140" t="str">
        <x:v>Head of Regulatory Reporting</x:v>
      </x:c>
      <x:c r="F10" s="140" t="str">
        <x:v>Daily</x:v>
      </x:c>
      <x:c r="G10" s="206" t="n">
        <x:v>0</x:v>
      </x:c>
      <x:c r="H10" s="206" t="n">
        <x:v>3</x:v>
      </x:c>
      <x:c r="I10" s="206" t="n">
        <x:v>5</x:v>
      </x:c>
      <x:c r="J10" s="206" t="n">
        <x:v>6</x:v>
      </x:c>
      <x:c r="K10" s="206" t="n">
        <x:v>4</x:v>
      </x:c>
      <x:c r="L10" s="146" t="str">
        <x:f>IF(A10="","",IF(J10&gt;K10,"▲",IF(J10&lt;K10,"▼","●")))</x:f>
        <x:v>▲</x:v>
      </x:c>
      <x:c r="M10" s="146" t="str">
        <x:f>IF(A10="","",IF(D10="Lower is better",IF(J10&gt;=I10,"Red",IF(J10&gt;=H10,"Amber","Green")),IF(J10&lt;=I10,"Red",IF(J10&lt;=H10,"Amber","Green"))))</x:f>
        <x:v>Red</x:v>
      </x:c>
      <x:c r="N10" s="140" t="str">
        <x:v>Mapping remediation escalated to executive sponsor.</x:v>
      </x:c>
      <x:c r="O10" s="155" t="n">
        <x:v>46262</x:v>
      </x:c>
    </x:row>
    <x:row r="11">
      <x:c r="A11" s="140" t="str">
        <x:v>Conduct</x:v>
      </x:c>
      <x:c r="B11" s="140" t="str">
        <x:v>Upheld complaints rate</x:v>
      </x:c>
      <x:c r="C11" s="140" t="str">
        <x:v>%</x:v>
      </x:c>
      <x:c r="D11" s="140" t="str">
        <x:v>Lower is better</x:v>
      </x:c>
      <x:c r="E11" s="140" t="str">
        <x:v>Chief Compliance Officer</x:v>
      </x:c>
      <x:c r="F11" s="140" t="str">
        <x:v>Monthly</x:v>
      </x:c>
      <x:c r="G11" s="205" t="n">
        <x:v>0.04</x:v>
      </x:c>
      <x:c r="H11" s="205" t="n">
        <x:v>0.07</x:v>
      </x:c>
      <x:c r="I11" s="205" t="n">
        <x:v>0.1</x:v>
      </x:c>
      <x:c r="J11" s="205" t="n">
        <x:v>0.065</x:v>
      </x:c>
      <x:c r="K11" s="205" t="n">
        <x:v>0.055</x:v>
      </x:c>
      <x:c r="L11" s="146" t="str">
        <x:f>IF(A11="","",IF(J11&gt;K11,"▲",IF(J11&lt;K11,"▼","●")))</x:f>
        <x:v>▲</x:v>
      </x:c>
      <x:c r="M11" s="146" t="str">
        <x:f>IF(A11="","",IF(D11="Lower is better",IF(J11&gt;=I11,"Red",IF(J11&gt;=H11,"Amber","Green")),IF(J11&lt;=I11,"Red",IF(J11&lt;=H11,"Amber","Green"))))</x:f>
        <x:v>Green</x:v>
      </x:c>
      <x:c r="N11" s="140" t="str">
        <x:v>Within amber trigger; sample review increased.</x:v>
      </x:c>
      <x:c r="O11" s="155" t="n">
        <x:v>46262</x:v>
      </x:c>
    </x:row>
    <x:row r="12">
      <x:c r="A12" s="140" t="str">
        <x:v>People</x:v>
      </x:c>
      <x:c r="B12" s="140" t="str">
        <x:v>Critical role vacancies</x:v>
      </x:c>
      <x:c r="C12" s="140" t="str">
        <x:v>Count</x:v>
      </x:c>
      <x:c r="D12" s="140" t="str">
        <x:v>Lower is better</x:v>
      </x:c>
      <x:c r="E12" s="140" t="str">
        <x:v>Chief People Officer</x:v>
      </x:c>
      <x:c r="F12" s="140" t="str">
        <x:v>Monthly</x:v>
      </x:c>
      <x:c r="G12" s="206" t="n">
        <x:v>1</x:v>
      </x:c>
      <x:c r="H12" s="206" t="n">
        <x:v>3</x:v>
      </x:c>
      <x:c r="I12" s="206" t="n">
        <x:v>5</x:v>
      </x:c>
      <x:c r="J12" s="206" t="n">
        <x:v>2</x:v>
      </x:c>
      <x:c r="K12" s="206" t="n">
        <x:v>2</x:v>
      </x:c>
      <x:c r="L12" s="146" t="str">
        <x:f>IF(A12="","",IF(J12&gt;K12,"▲",IF(J12&lt;K12,"▼","●")))</x:f>
        <x:v>●</x:v>
      </x:c>
      <x:c r="M12" s="146" t="str">
        <x:f>IF(A12="","",IF(D12="Lower is better",IF(J12&gt;=I12,"Red",IF(J12&gt;=H12,"Amber","Green")),IF(J12&lt;=I12,"Red",IF(J12&lt;=H12,"Amber","Green"))))</x:f>
        <x:v>Green</x:v>
      </x:c>
      <x:c r="N12" s="140" t="str">
        <x:v>Recruitment underway; interim cover confirmed.</x:v>
      </x:c>
      <x:c r="O12" s="155" t="n">
        <x:v>46262</x:v>
      </x:c>
    </x:row>
    <x:row r="13">
      <x:c r="A13" s="140"/>
      <x:c r="B13" s="140"/>
      <x:c r="C13" s="140"/>
      <x:c r="D13" s="140"/>
      <x:c r="E13" s="140"/>
      <x:c r="F13" s="140"/>
      <x:c r="G13" s="140"/>
      <x:c r="H13" s="140"/>
      <x:c r="I13" s="140"/>
      <x:c r="J13" s="140"/>
      <x:c r="K13" s="140"/>
      <x:c r="L13" s="146" t="str">
        <x:f>IF(A13="","",IF(J13&gt;K13,"▲",IF(J13&lt;K13,"▼","●")))</x:f>
      </x:c>
      <x:c r="M13" s="146" t="str">
        <x:f>IF(A13="","",IF(D13="Lower is better",IF(J13&gt;=I13,"Red",IF(J13&gt;=H13,"Amber","Green")),IF(J13&lt;=I13,"Red",IF(J13&lt;=H13,"Amber","Green"))))</x:f>
      </x:c>
      <x:c r="N13" s="140"/>
      <x:c r="O13" s="155"/>
    </x:row>
    <x:row r="14">
      <x:c r="A14" s="140"/>
      <x:c r="B14" s="140"/>
      <x:c r="C14" s="140"/>
      <x:c r="D14" s="140"/>
      <x:c r="E14" s="140"/>
      <x:c r="F14" s="140"/>
      <x:c r="G14" s="140"/>
      <x:c r="H14" s="140"/>
      <x:c r="I14" s="140"/>
      <x:c r="J14" s="140"/>
      <x:c r="K14" s="140"/>
      <x:c r="L14" s="146" t="str">
        <x:f>IF(A14="","",IF(J14&gt;K14,"▲",IF(J14&lt;K14,"▼","●")))</x:f>
      </x:c>
      <x:c r="M14" s="146" t="str">
        <x:f>IF(A14="","",IF(D14="Lower is better",IF(J14&gt;=I14,"Red",IF(J14&gt;=H14,"Amber","Green")),IF(J14&lt;=I14,"Red",IF(J14&lt;=H14,"Amber","Green"))))</x:f>
      </x:c>
      <x:c r="N14" s="140"/>
      <x:c r="O14" s="155"/>
    </x:row>
    <x:row r="15">
      <x:c r="A15" s="140"/>
      <x:c r="B15" s="140"/>
      <x:c r="C15" s="140"/>
      <x:c r="D15" s="140"/>
      <x:c r="E15" s="140"/>
      <x:c r="F15" s="140"/>
      <x:c r="G15" s="140"/>
      <x:c r="H15" s="140"/>
      <x:c r="I15" s="140"/>
      <x:c r="J15" s="140"/>
      <x:c r="K15" s="140"/>
      <x:c r="L15" s="146" t="str">
        <x:f>IF(A15="","",IF(J15&gt;K15,"▲",IF(J15&lt;K15,"▼","●")))</x:f>
      </x:c>
      <x:c r="M15" s="146" t="str">
        <x:f>IF(A15="","",IF(D15="Lower is better",IF(J15&gt;=I15,"Red",IF(J15&gt;=H15,"Amber","Green")),IF(J15&lt;=I15,"Red",IF(J15&lt;=H15,"Amber","Green"))))</x:f>
      </x:c>
      <x:c r="N15" s="140"/>
      <x:c r="O15" s="155"/>
    </x:row>
    <x:row r="16">
      <x:c r="A16" s="140"/>
      <x:c r="B16" s="140"/>
      <x:c r="C16" s="140"/>
      <x:c r="D16" s="140"/>
      <x:c r="E16" s="140"/>
      <x:c r="F16" s="140"/>
      <x:c r="G16" s="140"/>
      <x:c r="H16" s="140"/>
      <x:c r="I16" s="140"/>
      <x:c r="J16" s="140"/>
      <x:c r="K16" s="140"/>
      <x:c r="L16" s="146" t="str">
        <x:f>IF(A16="","",IF(J16&gt;K16,"▲",IF(J16&lt;K16,"▼","●")))</x:f>
      </x:c>
      <x:c r="M16" s="146" t="str">
        <x:f>IF(A16="","",IF(D16="Lower is better",IF(J16&gt;=I16,"Red",IF(J16&gt;=H16,"Amber","Green")),IF(J16&lt;=I16,"Red",IF(J16&lt;=H16,"Amber","Green"))))</x:f>
      </x:c>
      <x:c r="N16" s="140"/>
      <x:c r="O16" s="155"/>
    </x:row>
    <x:row r="17">
      <x:c r="A17" s="140"/>
      <x:c r="B17" s="140"/>
      <x:c r="C17" s="140"/>
      <x:c r="D17" s="140"/>
      <x:c r="E17" s="140"/>
      <x:c r="F17" s="140"/>
      <x:c r="G17" s="140"/>
      <x:c r="H17" s="140"/>
      <x:c r="I17" s="140"/>
      <x:c r="J17" s="140"/>
      <x:c r="K17" s="140"/>
      <x:c r="L17" s="146" t="str">
        <x:f>IF(A17="","",IF(J17&gt;K17,"▲",IF(J17&lt;K17,"▼","●")))</x:f>
      </x:c>
      <x:c r="M17" s="146" t="str">
        <x:f>IF(A17="","",IF(D17="Lower is better",IF(J17&gt;=I17,"Red",IF(J17&gt;=H17,"Amber","Green")),IF(J17&lt;=I17,"Red",IF(J17&lt;=H17,"Amber","Green"))))</x:f>
      </x:c>
      <x:c r="N17" s="140"/>
      <x:c r="O17" s="155"/>
    </x:row>
    <x:row r="18">
      <x:c r="A18" s="140"/>
      <x:c r="B18" s="140"/>
      <x:c r="C18" s="140"/>
      <x:c r="D18" s="140"/>
      <x:c r="E18" s="140"/>
      <x:c r="F18" s="140"/>
      <x:c r="G18" s="140"/>
      <x:c r="H18" s="140"/>
      <x:c r="I18" s="140"/>
      <x:c r="J18" s="140"/>
      <x:c r="K18" s="140"/>
      <x:c r="L18" s="146" t="str">
        <x:f>IF(A18="","",IF(J18&gt;K18,"▲",IF(J18&lt;K18,"▼","●")))</x:f>
      </x:c>
      <x:c r="M18" s="146" t="str">
        <x:f>IF(A18="","",IF(D18="Lower is better",IF(J18&gt;=I18,"Red",IF(J18&gt;=H18,"Amber","Green")),IF(J18&lt;=I18,"Red",IF(J18&lt;=H18,"Amber","Green"))))</x:f>
      </x:c>
      <x:c r="N18" s="140"/>
      <x:c r="O18" s="155"/>
    </x:row>
    <x:row r="19">
      <x:c r="A19" s="140"/>
      <x:c r="B19" s="140"/>
      <x:c r="C19" s="140"/>
      <x:c r="D19" s="140"/>
      <x:c r="E19" s="140"/>
      <x:c r="F19" s="140"/>
      <x:c r="G19" s="140"/>
      <x:c r="H19" s="140"/>
      <x:c r="I19" s="140"/>
      <x:c r="J19" s="140"/>
      <x:c r="K19" s="140"/>
      <x:c r="L19" s="146" t="str">
        <x:f>IF(A19="","",IF(J19&gt;K19,"▲",IF(J19&lt;K19,"▼","●")))</x:f>
      </x:c>
      <x:c r="M19" s="146" t="str">
        <x:f>IF(A19="","",IF(D19="Lower is better",IF(J19&gt;=I19,"Red",IF(J19&gt;=H19,"Amber","Green")),IF(J19&lt;=I19,"Red",IF(J19&lt;=H19,"Amber","Green"))))</x:f>
      </x:c>
      <x:c r="N19" s="140"/>
      <x:c r="O19" s="155"/>
    </x:row>
    <x:row r="20">
      <x:c r="A20" s="140"/>
      <x:c r="B20" s="140"/>
      <x:c r="C20" s="140"/>
      <x:c r="D20" s="140"/>
      <x:c r="E20" s="140"/>
      <x:c r="F20" s="140"/>
      <x:c r="G20" s="140"/>
      <x:c r="H20" s="140"/>
      <x:c r="I20" s="140"/>
      <x:c r="J20" s="140"/>
      <x:c r="K20" s="140"/>
      <x:c r="L20" s="146" t="str">
        <x:f>IF(A20="","",IF(J20&gt;K20,"▲",IF(J20&lt;K20,"▼","●")))</x:f>
      </x:c>
      <x:c r="M20" s="146" t="str">
        <x:f>IF(A20="","",IF(D20="Lower is better",IF(J20&gt;=I20,"Red",IF(J20&gt;=H20,"Amber","Green")),IF(J20&lt;=I20,"Red",IF(J20&lt;=H20,"Amber","Green"))))</x:f>
      </x:c>
      <x:c r="N20" s="140"/>
      <x:c r="O20" s="155"/>
    </x:row>
    <x:row r="21">
      <x:c r="A21" s="140"/>
      <x:c r="B21" s="140"/>
      <x:c r="C21" s="140"/>
      <x:c r="D21" s="140"/>
      <x:c r="E21" s="140"/>
      <x:c r="F21" s="140"/>
      <x:c r="G21" s="140"/>
      <x:c r="H21" s="140"/>
      <x:c r="I21" s="140"/>
      <x:c r="J21" s="140"/>
      <x:c r="K21" s="140"/>
      <x:c r="L21" s="146" t="str">
        <x:f>IF(A21="","",IF(J21&gt;K21,"▲",IF(J21&lt;K21,"▼","●")))</x:f>
      </x:c>
      <x:c r="M21" s="146" t="str">
        <x:f>IF(A21="","",IF(D21="Lower is better",IF(J21&gt;=I21,"Red",IF(J21&gt;=H21,"Amber","Green")),IF(J21&lt;=I21,"Red",IF(J21&lt;=H21,"Amber","Green"))))</x:f>
      </x:c>
      <x:c r="N21" s="140"/>
      <x:c r="O21" s="155"/>
    </x:row>
    <x:row r="22">
      <x:c r="A22" s="140"/>
      <x:c r="B22" s="140"/>
      <x:c r="C22" s="140"/>
      <x:c r="D22" s="140"/>
      <x:c r="E22" s="140"/>
      <x:c r="F22" s="140"/>
      <x:c r="G22" s="140"/>
      <x:c r="H22" s="140"/>
      <x:c r="I22" s="140"/>
      <x:c r="J22" s="140"/>
      <x:c r="K22" s="140"/>
      <x:c r="L22" s="146" t="str">
        <x:f>IF(A22="","",IF(J22&gt;K22,"▲",IF(J22&lt;K22,"▼","●")))</x:f>
      </x:c>
      <x:c r="M22" s="146" t="str">
        <x:f>IF(A22="","",IF(D22="Lower is better",IF(J22&gt;=I22,"Red",IF(J22&gt;=H22,"Amber","Green")),IF(J22&lt;=I22,"Red",IF(J22&lt;=H22,"Amber","Green"))))</x:f>
      </x:c>
      <x:c r="N22" s="140"/>
      <x:c r="O22" s="155"/>
    </x:row>
    <x:row r="23">
      <x:c r="A23" s="140"/>
      <x:c r="B23" s="140"/>
      <x:c r="C23" s="140"/>
      <x:c r="D23" s="140"/>
      <x:c r="E23" s="140"/>
      <x:c r="F23" s="140"/>
      <x:c r="G23" s="140"/>
      <x:c r="H23" s="140"/>
      <x:c r="I23" s="140"/>
      <x:c r="J23" s="140"/>
      <x:c r="K23" s="140"/>
      <x:c r="L23" s="146" t="str">
        <x:f>IF(A23="","",IF(J23&gt;K23,"▲",IF(J23&lt;K23,"▼","●")))</x:f>
      </x:c>
      <x:c r="M23" s="146" t="str">
        <x:f>IF(A23="","",IF(D23="Lower is better",IF(J23&gt;=I23,"Red",IF(J23&gt;=H23,"Amber","Green")),IF(J23&lt;=I23,"Red",IF(J23&lt;=H23,"Amber","Green"))))</x:f>
      </x:c>
      <x:c r="N23" s="140"/>
      <x:c r="O23" s="155"/>
    </x:row>
    <x:row r="24">
      <x:c r="A24" s="140"/>
      <x:c r="B24" s="140"/>
      <x:c r="C24" s="140"/>
      <x:c r="D24" s="140"/>
      <x:c r="E24" s="140"/>
      <x:c r="F24" s="140"/>
      <x:c r="G24" s="140"/>
      <x:c r="H24" s="140"/>
      <x:c r="I24" s="140"/>
      <x:c r="J24" s="140"/>
      <x:c r="K24" s="140"/>
      <x:c r="L24" s="146" t="str">
        <x:f>IF(A24="","",IF(J24&gt;K24,"▲",IF(J24&lt;K24,"▼","●")))</x:f>
      </x:c>
      <x:c r="M24" s="146" t="str">
        <x:f>IF(A24="","",IF(D24="Lower is better",IF(J24&gt;=I24,"Red",IF(J24&gt;=H24,"Amber","Green")),IF(J24&lt;=I24,"Red",IF(J24&lt;=H24,"Amber","Green"))))</x:f>
      </x:c>
      <x:c r="N24" s="140"/>
      <x:c r="O24" s="155"/>
    </x:row>
    <x:row r="25">
      <x:c r="A25" s="140"/>
      <x:c r="B25" s="140"/>
      <x:c r="C25" s="140"/>
      <x:c r="D25" s="140"/>
      <x:c r="E25" s="140"/>
      <x:c r="F25" s="140"/>
      <x:c r="G25" s="140"/>
      <x:c r="H25" s="140"/>
      <x:c r="I25" s="140"/>
      <x:c r="J25" s="140"/>
      <x:c r="K25" s="140"/>
      <x:c r="L25" s="146" t="str">
        <x:f>IF(A25="","",IF(J25&gt;K25,"▲",IF(J25&lt;K25,"▼","●")))</x:f>
      </x:c>
      <x:c r="M25" s="146" t="str">
        <x:f>IF(A25="","",IF(D25="Lower is better",IF(J25&gt;=I25,"Red",IF(J25&gt;=H25,"Amber","Green")),IF(J25&lt;=I25,"Red",IF(J25&lt;=H25,"Amber","Green"))))</x:f>
      </x:c>
      <x:c r="N25" s="140"/>
      <x:c r="O25" s="155"/>
    </x:row>
    <x:row r="26">
      <x:c r="A26" s="140"/>
      <x:c r="B26" s="140"/>
      <x:c r="C26" s="140"/>
      <x:c r="D26" s="140"/>
      <x:c r="E26" s="140"/>
      <x:c r="F26" s="140"/>
      <x:c r="G26" s="140"/>
      <x:c r="H26" s="140"/>
      <x:c r="I26" s="140"/>
      <x:c r="J26" s="140"/>
      <x:c r="K26" s="140"/>
      <x:c r="L26" s="146" t="str">
        <x:f>IF(A26="","",IF(J26&gt;K26,"▲",IF(J26&lt;K26,"▼","●")))</x:f>
      </x:c>
      <x:c r="M26" s="146" t="str">
        <x:f>IF(A26="","",IF(D26="Lower is better",IF(J26&gt;=I26,"Red",IF(J26&gt;=H26,"Amber","Green")),IF(J26&lt;=I26,"Red",IF(J26&lt;=H26,"Amber","Green"))))</x:f>
      </x:c>
      <x:c r="N26" s="140"/>
      <x:c r="O26" s="155"/>
    </x:row>
    <x:row r="27">
      <x:c r="A27" s="140"/>
      <x:c r="B27" s="140"/>
      <x:c r="C27" s="140"/>
      <x:c r="D27" s="140"/>
      <x:c r="E27" s="140"/>
      <x:c r="F27" s="140"/>
      <x:c r="G27" s="140"/>
      <x:c r="H27" s="140"/>
      <x:c r="I27" s="140"/>
      <x:c r="J27" s="140"/>
      <x:c r="K27" s="140"/>
      <x:c r="L27" s="146" t="str">
        <x:f>IF(A27="","",IF(J27&gt;K27,"▲",IF(J27&lt;K27,"▼","●")))</x:f>
      </x:c>
      <x:c r="M27" s="146" t="str">
        <x:f>IF(A27="","",IF(D27="Lower is better",IF(J27&gt;=I27,"Red",IF(J27&gt;=H27,"Amber","Green")),IF(J27&lt;=I27,"Red",IF(J27&lt;=H27,"Amber","Green"))))</x:f>
      </x:c>
      <x:c r="N27" s="140"/>
      <x:c r="O27" s="155"/>
    </x:row>
    <x:row r="28">
      <x:c r="A28" s="140"/>
      <x:c r="B28" s="140"/>
      <x:c r="C28" s="140"/>
      <x:c r="D28" s="140"/>
      <x:c r="E28" s="140"/>
      <x:c r="F28" s="140"/>
      <x:c r="G28" s="140"/>
      <x:c r="H28" s="140"/>
      <x:c r="I28" s="140"/>
      <x:c r="J28" s="140"/>
      <x:c r="K28" s="140"/>
      <x:c r="L28" s="146" t="str">
        <x:f>IF(A28="","",IF(J28&gt;K28,"▲",IF(J28&lt;K28,"▼","●")))</x:f>
      </x:c>
      <x:c r="M28" s="146" t="str">
        <x:f>IF(A28="","",IF(D28="Lower is better",IF(J28&gt;=I28,"Red",IF(J28&gt;=H28,"Amber","Green")),IF(J28&lt;=I28,"Red",IF(J28&lt;=H28,"Amber","Green"))))</x:f>
      </x:c>
      <x:c r="N28" s="140"/>
      <x:c r="O28" s="155"/>
    </x:row>
    <x:row r="29">
      <x:c r="A29" s="140"/>
      <x:c r="B29" s="140"/>
      <x:c r="C29" s="140"/>
      <x:c r="D29" s="140"/>
      <x:c r="E29" s="140"/>
      <x:c r="F29" s="140"/>
      <x:c r="G29" s="140"/>
      <x:c r="H29" s="140"/>
      <x:c r="I29" s="140"/>
      <x:c r="J29" s="140"/>
      <x:c r="K29" s="140"/>
      <x:c r="L29" s="146" t="str">
        <x:f>IF(A29="","",IF(J29&gt;K29,"▲",IF(J29&lt;K29,"▼","●")))</x:f>
      </x:c>
      <x:c r="M29" s="146" t="str">
        <x:f>IF(A29="","",IF(D29="Lower is better",IF(J29&gt;=I29,"Red",IF(J29&gt;=H29,"Amber","Green")),IF(J29&lt;=I29,"Red",IF(J29&lt;=H29,"Amber","Green"))))</x:f>
      </x:c>
      <x:c r="N29" s="140"/>
      <x:c r="O29" s="155"/>
    </x:row>
    <x:row r="30">
      <x:c r="A30" s="140"/>
      <x:c r="B30" s="140"/>
      <x:c r="C30" s="140"/>
      <x:c r="D30" s="140"/>
      <x:c r="E30" s="140"/>
      <x:c r="F30" s="140"/>
      <x:c r="G30" s="140"/>
      <x:c r="H30" s="140"/>
      <x:c r="I30" s="140"/>
      <x:c r="J30" s="140"/>
      <x:c r="K30" s="140"/>
      <x:c r="L30" s="146" t="str">
        <x:f>IF(A30="","",IF(J30&gt;K30,"▲",IF(J30&lt;K30,"▼","●")))</x:f>
      </x:c>
      <x:c r="M30" s="146" t="str">
        <x:f>IF(A30="","",IF(D30="Lower is better",IF(J30&gt;=I30,"Red",IF(J30&gt;=H30,"Amber","Green")),IF(J30&lt;=I30,"Red",IF(J30&lt;=H30,"Amber","Green"))))</x:f>
      </x:c>
      <x:c r="N30" s="140"/>
      <x:c r="O30" s="155"/>
    </x:row>
    <x:row r="31">
      <x:c r="A31" s="140"/>
      <x:c r="B31" s="140"/>
      <x:c r="C31" s="140"/>
      <x:c r="D31" s="140"/>
      <x:c r="E31" s="140"/>
      <x:c r="F31" s="140"/>
      <x:c r="G31" s="140"/>
      <x:c r="H31" s="140"/>
      <x:c r="I31" s="140"/>
      <x:c r="J31" s="140"/>
      <x:c r="K31" s="140"/>
      <x:c r="L31" s="146" t="str">
        <x:f>IF(A31="","",IF(J31&gt;K31,"▲",IF(J31&lt;K31,"▼","●")))</x:f>
      </x:c>
      <x:c r="M31" s="146" t="str">
        <x:f>IF(A31="","",IF(D31="Lower is better",IF(J31&gt;=I31,"Red",IF(J31&gt;=H31,"Amber","Green")),IF(J31&lt;=I31,"Red",IF(J31&lt;=H31,"Amber","Green"))))</x:f>
      </x:c>
      <x:c r="N31" s="140"/>
      <x:c r="O31" s="155"/>
    </x:row>
    <x:row r="32">
      <x:c r="A32" s="140"/>
      <x:c r="B32" s="140"/>
      <x:c r="C32" s="140"/>
      <x:c r="D32" s="140"/>
      <x:c r="E32" s="140"/>
      <x:c r="F32" s="140"/>
      <x:c r="G32" s="140"/>
      <x:c r="H32" s="140"/>
      <x:c r="I32" s="140"/>
      <x:c r="J32" s="140"/>
      <x:c r="K32" s="140"/>
      <x:c r="L32" s="146" t="str">
        <x:f>IF(A32="","",IF(J32&gt;K32,"▲",IF(J32&lt;K32,"▼","●")))</x:f>
      </x:c>
      <x:c r="M32" s="146" t="str">
        <x:f>IF(A32="","",IF(D32="Lower is better",IF(J32&gt;=I32,"Red",IF(J32&gt;=H32,"Amber","Green")),IF(J32&lt;=I32,"Red",IF(J32&lt;=H32,"Amber","Green"))))</x:f>
      </x:c>
      <x:c r="N32" s="140"/>
      <x:c r="O32" s="155"/>
    </x:row>
    <x:row r="33">
      <x:c r="A33" s="140"/>
      <x:c r="B33" s="140"/>
      <x:c r="C33" s="140"/>
      <x:c r="D33" s="140"/>
      <x:c r="E33" s="140"/>
      <x:c r="F33" s="140"/>
      <x:c r="G33" s="140"/>
      <x:c r="H33" s="140"/>
      <x:c r="I33" s="140"/>
      <x:c r="J33" s="140"/>
      <x:c r="K33" s="140"/>
      <x:c r="L33" s="146" t="str">
        <x:f>IF(A33="","",IF(J33&gt;K33,"▲",IF(J33&lt;K33,"▼","●")))</x:f>
      </x:c>
      <x:c r="M33" s="146" t="str">
        <x:f>IF(A33="","",IF(D33="Lower is better",IF(J33&gt;=I33,"Red",IF(J33&gt;=H33,"Amber","Green")),IF(J33&lt;=I33,"Red",IF(J33&lt;=H33,"Amber","Green"))))</x:f>
      </x:c>
      <x:c r="N33" s="140"/>
      <x:c r="O33" s="155"/>
    </x:row>
    <x:row r="34">
      <x:c r="A34" s="140"/>
      <x:c r="B34" s="140"/>
      <x:c r="C34" s="140"/>
      <x:c r="D34" s="140"/>
      <x:c r="E34" s="140"/>
      <x:c r="F34" s="140"/>
      <x:c r="G34" s="140"/>
      <x:c r="H34" s="140"/>
      <x:c r="I34" s="140"/>
      <x:c r="J34" s="140"/>
      <x:c r="K34" s="140"/>
      <x:c r="L34" s="146" t="str">
        <x:f>IF(A34="","",IF(J34&gt;K34,"▲",IF(J34&lt;K34,"▼","●")))</x:f>
      </x:c>
      <x:c r="M34" s="146" t="str">
        <x:f>IF(A34="","",IF(D34="Lower is better",IF(J34&gt;=I34,"Red",IF(J34&gt;=H34,"Amber","Green")),IF(J34&lt;=I34,"Red",IF(J34&lt;=H34,"Amber","Green"))))</x:f>
      </x:c>
      <x:c r="N34" s="140"/>
      <x:c r="O34" s="155"/>
    </x:row>
    <x:row r="35">
      <x:c r="A35" s="140"/>
      <x:c r="B35" s="140"/>
      <x:c r="C35" s="140"/>
      <x:c r="D35" s="140"/>
      <x:c r="E35" s="140"/>
      <x:c r="F35" s="140"/>
      <x:c r="G35" s="140"/>
      <x:c r="H35" s="140"/>
      <x:c r="I35" s="140"/>
      <x:c r="J35" s="140"/>
      <x:c r="K35" s="140"/>
      <x:c r="L35" s="146" t="str">
        <x:f>IF(A35="","",IF(J35&gt;K35,"▲",IF(J35&lt;K35,"▼","●")))</x:f>
      </x:c>
      <x:c r="M35" s="146" t="str">
        <x:f>IF(A35="","",IF(D35="Lower is better",IF(J35&gt;=I35,"Red",IF(J35&gt;=H35,"Amber","Green")),IF(J35&lt;=I35,"Red",IF(J35&lt;=H35,"Amber","Green"))))</x:f>
      </x:c>
      <x:c r="N35" s="140"/>
      <x:c r="O35" s="155"/>
    </x:row>
    <x:row r="36">
      <x:c r="A36" s="140"/>
      <x:c r="B36" s="140"/>
      <x:c r="C36" s="140"/>
      <x:c r="D36" s="140"/>
      <x:c r="E36" s="140"/>
      <x:c r="F36" s="140"/>
      <x:c r="G36" s="140"/>
      <x:c r="H36" s="140"/>
      <x:c r="I36" s="140"/>
      <x:c r="J36" s="140"/>
      <x:c r="K36" s="140"/>
      <x:c r="L36" s="146" t="str">
        <x:f>IF(A36="","",IF(J36&gt;K36,"▲",IF(J36&lt;K36,"▼","●")))</x:f>
      </x:c>
      <x:c r="M36" s="146" t="str">
        <x:f>IF(A36="","",IF(D36="Lower is better",IF(J36&gt;=I36,"Red",IF(J36&gt;=H36,"Amber","Green")),IF(J36&lt;=I36,"Red",IF(J36&lt;=H36,"Amber","Green"))))</x:f>
      </x:c>
      <x:c r="N36" s="140"/>
      <x:c r="O36" s="155"/>
    </x:row>
    <x:row r="37">
      <x:c r="A37" s="140"/>
      <x:c r="B37" s="140"/>
      <x:c r="C37" s="140"/>
      <x:c r="D37" s="140"/>
      <x:c r="E37" s="140"/>
      <x:c r="F37" s="140"/>
      <x:c r="G37" s="140"/>
      <x:c r="H37" s="140"/>
      <x:c r="I37" s="140"/>
      <x:c r="J37" s="140"/>
      <x:c r="K37" s="140"/>
      <x:c r="L37" s="146" t="str">
        <x:f>IF(A37="","",IF(J37&gt;K37,"▲",IF(J37&lt;K37,"▼","●")))</x:f>
      </x:c>
      <x:c r="M37" s="146" t="str">
        <x:f>IF(A37="","",IF(D37="Lower is better",IF(J37&gt;=I37,"Red",IF(J37&gt;=H37,"Amber","Green")),IF(J37&lt;=I37,"Red",IF(J37&lt;=H37,"Amber","Green"))))</x:f>
      </x:c>
      <x:c r="N37" s="140"/>
      <x:c r="O37" s="155"/>
    </x:row>
    <x:row r="38">
      <x:c r="A38" s="140"/>
      <x:c r="B38" s="140"/>
      <x:c r="C38" s="140"/>
      <x:c r="D38" s="140"/>
      <x:c r="E38" s="140"/>
      <x:c r="F38" s="140"/>
      <x:c r="G38" s="140"/>
      <x:c r="H38" s="140"/>
      <x:c r="I38" s="140"/>
      <x:c r="J38" s="140"/>
      <x:c r="K38" s="140"/>
      <x:c r="L38" s="146" t="str">
        <x:f>IF(A38="","",IF(J38&gt;K38,"▲",IF(J38&lt;K38,"▼","●")))</x:f>
      </x:c>
      <x:c r="M38" s="146" t="str">
        <x:f>IF(A38="","",IF(D38="Lower is better",IF(J38&gt;=I38,"Red",IF(J38&gt;=H38,"Amber","Green")),IF(J38&lt;=I38,"Red",IF(J38&lt;=H38,"Amber","Green"))))</x:f>
      </x:c>
      <x:c r="N38" s="140"/>
      <x:c r="O38" s="155"/>
    </x:row>
    <x:row r="39">
      <x:c r="A39" s="140"/>
      <x:c r="B39" s="140"/>
      <x:c r="C39" s="140"/>
      <x:c r="D39" s="140"/>
      <x:c r="E39" s="140"/>
      <x:c r="F39" s="140"/>
      <x:c r="G39" s="140"/>
      <x:c r="H39" s="140"/>
      <x:c r="I39" s="140"/>
      <x:c r="J39" s="140"/>
      <x:c r="K39" s="140"/>
      <x:c r="L39" s="146" t="str">
        <x:f>IF(A39="","",IF(J39&gt;K39,"▲",IF(J39&lt;K39,"▼","●")))</x:f>
      </x:c>
      <x:c r="M39" s="146" t="str">
        <x:f>IF(A39="","",IF(D39="Lower is better",IF(J39&gt;=I39,"Red",IF(J39&gt;=H39,"Amber","Green")),IF(J39&lt;=I39,"Red",IF(J39&lt;=H39,"Amber","Green"))))</x:f>
      </x:c>
      <x:c r="N39" s="140"/>
      <x:c r="O39" s="155"/>
    </x:row>
    <x:row r="40">
      <x:c r="A40" s="140"/>
      <x:c r="B40" s="140"/>
      <x:c r="C40" s="140"/>
      <x:c r="D40" s="140"/>
      <x:c r="E40" s="140"/>
      <x:c r="F40" s="140"/>
      <x:c r="G40" s="140"/>
      <x:c r="H40" s="140"/>
      <x:c r="I40" s="140"/>
      <x:c r="J40" s="140"/>
      <x:c r="K40" s="140"/>
      <x:c r="L40" s="146" t="str">
        <x:f>IF(A40="","",IF(J40&gt;K40,"▲",IF(J40&lt;K40,"▼","●")))</x:f>
      </x:c>
      <x:c r="M40" s="146" t="str">
        <x:f>IF(A40="","",IF(D40="Lower is better",IF(J40&gt;=I40,"Red",IF(J40&gt;=H40,"Amber","Green")),IF(J40&lt;=I40,"Red",IF(J40&lt;=H40,"Amber","Green"))))</x:f>
      </x:c>
      <x:c r="N40" s="140"/>
      <x:c r="O40" s="155"/>
    </x:row>
    <x:row r="41">
      <x:c r="A41" s="140"/>
      <x:c r="B41" s="140"/>
      <x:c r="C41" s="140"/>
      <x:c r="D41" s="140"/>
      <x:c r="E41" s="140"/>
      <x:c r="F41" s="140"/>
      <x:c r="G41" s="140"/>
      <x:c r="H41" s="140"/>
      <x:c r="I41" s="140"/>
      <x:c r="J41" s="140"/>
      <x:c r="K41" s="140"/>
      <x:c r="L41" s="146" t="str">
        <x:f>IF(A41="","",IF(J41&gt;K41,"▲",IF(J41&lt;K41,"▼","●")))</x:f>
      </x:c>
      <x:c r="M41" s="146" t="str">
        <x:f>IF(A41="","",IF(D41="Lower is better",IF(J41&gt;=I41,"Red",IF(J41&gt;=H41,"Amber","Green")),IF(J41&lt;=I41,"Red",IF(J41&lt;=H41,"Amber","Green"))))</x:f>
      </x:c>
      <x:c r="N41" s="140"/>
      <x:c r="O41" s="155"/>
    </x:row>
    <x:row r="42">
      <x:c r="A42" s="140"/>
      <x:c r="B42" s="140"/>
      <x:c r="C42" s="140"/>
      <x:c r="D42" s="140"/>
      <x:c r="E42" s="140"/>
      <x:c r="F42" s="140"/>
      <x:c r="G42" s="140"/>
      <x:c r="H42" s="140"/>
      <x:c r="I42" s="140"/>
      <x:c r="J42" s="140"/>
      <x:c r="K42" s="140"/>
      <x:c r="L42" s="146" t="str">
        <x:f>IF(A42="","",IF(J42&gt;K42,"▲",IF(J42&lt;K42,"▼","●")))</x:f>
      </x:c>
      <x:c r="M42" s="146" t="str">
        <x:f>IF(A42="","",IF(D42="Lower is better",IF(J42&gt;=I42,"Red",IF(J42&gt;=H42,"Amber","Green")),IF(J42&lt;=I42,"Red",IF(J42&lt;=H42,"Amber","Green"))))</x:f>
      </x:c>
      <x:c r="N42" s="140"/>
      <x:c r="O42" s="155"/>
    </x:row>
    <x:row r="43">
      <x:c r="A43" s="140"/>
      <x:c r="B43" s="140"/>
      <x:c r="C43" s="140"/>
      <x:c r="D43" s="140"/>
      <x:c r="E43" s="140"/>
      <x:c r="F43" s="140"/>
      <x:c r="G43" s="140"/>
      <x:c r="H43" s="140"/>
      <x:c r="I43" s="140"/>
      <x:c r="J43" s="140"/>
      <x:c r="K43" s="140"/>
      <x:c r="L43" s="146" t="str">
        <x:f>IF(A43="","",IF(J43&gt;K43,"▲",IF(J43&lt;K43,"▼","●")))</x:f>
      </x:c>
      <x:c r="M43" s="146" t="str">
        <x:f>IF(A43="","",IF(D43="Lower is better",IF(J43&gt;=I43,"Red",IF(J43&gt;=H43,"Amber","Green")),IF(J43&lt;=I43,"Red",IF(J43&lt;=H43,"Amber","Green"))))</x:f>
      </x:c>
      <x:c r="N43" s="140"/>
      <x:c r="O43" s="155"/>
    </x:row>
    <x:row r="44">
      <x:c r="A44" s="140"/>
      <x:c r="B44" s="140"/>
      <x:c r="C44" s="140"/>
      <x:c r="D44" s="140"/>
      <x:c r="E44" s="140"/>
      <x:c r="F44" s="140"/>
      <x:c r="G44" s="140"/>
      <x:c r="H44" s="140"/>
      <x:c r="I44" s="140"/>
      <x:c r="J44" s="140"/>
      <x:c r="K44" s="140"/>
      <x:c r="L44" s="146" t="str">
        <x:f>IF(A44="","",IF(J44&gt;K44,"▲",IF(J44&lt;K44,"▼","●")))</x:f>
      </x:c>
      <x:c r="M44" s="146" t="str">
        <x:f>IF(A44="","",IF(D44="Lower is better",IF(J44&gt;=I44,"Red",IF(J44&gt;=H44,"Amber","Green")),IF(J44&lt;=I44,"Red",IF(J44&lt;=H44,"Amber","Green"))))</x:f>
      </x:c>
      <x:c r="N44" s="140"/>
      <x:c r="O44" s="155"/>
    </x:row>
    <x:row r="45">
      <x:c r="A45" s="141"/>
      <x:c r="B45" s="141"/>
      <x:c r="C45" s="141"/>
      <x:c r="D45" s="141"/>
      <x:c r="E45" s="141"/>
      <x:c r="F45" s="141"/>
      <x:c r="G45" s="141"/>
      <x:c r="H45" s="141"/>
      <x:c r="I45" s="141"/>
      <x:c r="J45" s="141"/>
      <x:c r="K45" s="141"/>
      <x:c r="L45" s="147" t="str">
        <x:f>IF(A45="","",IF(J45&gt;K45,"▲",IF(J45&lt;K45,"▼","●")))</x:f>
      </x:c>
      <x:c r="M45" s="147" t="str">
        <x:f>IF(A45="","",IF(D45="Lower is better",IF(J45&gt;=I45,"Red",IF(J45&gt;=H45,"Amber","Green")),IF(J45&lt;=I45,"Red",IF(J45&lt;=H45,"Amber","Green"))))</x:f>
      </x:c>
      <x:c r="N45" s="141"/>
      <x:c r="O45" s="156"/>
    </x:row>
  </x:sheetData>
  <x:mergeCells>
    <x:mergeCell ref="A1:O1"/>
    <x:mergeCell ref="A2:O2"/>
  </x:mergeCells>
  <x:conditionalFormatting sqref="M6:M45">
    <x:cfRule type="containsText" dxfId="14" priority="1" operator="containsText" text="Red"/>
    <x:cfRule type="containsText" dxfId="15" priority="2" operator="containsText" text="Amber"/>
    <x:cfRule type="containsText" dxfId="16" priority="3" operator="containsText" text="Green"/>
  </x:conditionalFormatting>
  <x:dataValidations count="2">
    <x:dataValidation type="list" sqref="D6:D45">
      <x:formula1>"Lower is better,Higher is better"</x:formula1>
    </x:dataValidation>
    <x:dataValidation type="list" sqref="F6:F45">
      <x:formula1>"Daily,Weekly,Monthly,Quarterly"</x:formula1>
    </x:dataValidation>
  </x:dataValidations>
  <x:pageMargins left="0.7" right="0.7" top="0.75" bottom="0.75" header="0.3" footer="0.3"/>
  <x:drawing xmlns:r="http://schemas.openxmlformats.org/officeDocument/2006/relationships" r:id="R133be6020f094142"/>
  <x:tableParts count="1">
    <x:tablePart xmlns:r="http://schemas.openxmlformats.org/officeDocument/2006/relationships" r:id="Ra1ccac5525c2416e"/>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3" hidden="0" customWidth="1"/>
    <x:col min="2" max="2" width="23" hidden="0" customWidth="1"/>
    <x:col min="3" max="3" width="18" hidden="0" customWidth="1"/>
    <x:col min="4" max="4" width="13" hidden="0" customWidth="1"/>
    <x:col min="5" max="5" width="14" hidden="0" customWidth="1"/>
    <x:col min="6" max="6" width="14" hidden="0" customWidth="1"/>
    <x:col min="7" max="7" width="15" hidden="0" customWidth="1"/>
    <x:col min="8" max="8" width="18" hidden="0" customWidth="1"/>
    <x:col min="9" max="9" width="20" hidden="0" customWidth="1"/>
    <x:col min="10" max="10" width="16" hidden="0" customWidth="1"/>
    <x:col min="11" max="11" width="12" hidden="0" customWidth="1"/>
    <x:col min="12" max="12" width="18" hidden="0" customWidth="1"/>
    <x:col min="13" max="13" width="16" hidden="0" customWidth="1"/>
    <x:col min="14" max="14" width="10" hidden="0" customWidth="1"/>
    <x:col min="15" max="15" width="10" hidden="0" customWidth="1"/>
    <x:col min="16" max="16" width="16" hidden="0" customWidth="1"/>
    <x:col min="17" max="17" width="12" hidden="0" customWidth="1"/>
    <x:col min="18" max="18" width="22" hidden="0" customWidth="1"/>
    <x:col min="19" max="19" width="13" hidden="0" customWidth="1"/>
    <x:col min="20" max="20" width="13" hidden="0" customWidth="1"/>
    <x:col min="21" max="21" width="11" hidden="0" customWidth="1"/>
    <x:col min="22" max="22" width="35" hidden="0" customWidth="1"/>
  </x:cols>
  <x:sheetData>
    <x:row r="1" ht="34" customHeight="1">
      <x:c r="A1" s="3" t="str">
        <x:v>Counterparty Credit Risk Monitoring</x:v>
      </x:c>
      <x:c r="B1" s="3"/>
      <x:c r="C1" s="3"/>
      <x:c r="D1" s="3"/>
      <x:c r="E1" s="3"/>
      <x:c r="F1" s="3"/>
      <x:c r="G1" s="3"/>
      <x:c r="H1" s="3"/>
      <x:c r="I1" s="3"/>
      <x:c r="J1" s="3"/>
      <x:c r="K1" s="3"/>
      <x:c r="L1" s="3"/>
      <x:c r="M1" s="3"/>
      <x:c r="N1" s="3"/>
      <x:c r="O1" s="3"/>
      <x:c r="P1" s="3"/>
      <x:c r="Q1" s="3"/>
      <x:c r="R1" s="3"/>
      <x:c r="S1" s="3"/>
      <x:c r="T1" s="3"/>
      <x:c r="U1" s="3"/>
      <x:c r="V1" s="3"/>
    </x:row>
    <x:row r="2" ht="30" customHeight="1">
      <x:c r="A2" s="7" t="str">
        <x:v>Monitor limits, current and potential exposure, collateral, concentration, expected loss and review status.</x:v>
      </x:c>
      <x:c r="B2" s="7"/>
      <x:c r="C2" s="7"/>
      <x:c r="D2" s="7"/>
      <x:c r="E2" s="7"/>
      <x:c r="F2" s="7"/>
      <x:c r="G2" s="7"/>
      <x:c r="H2" s="7"/>
      <x:c r="I2" s="7"/>
      <x:c r="J2" s="7"/>
      <x:c r="K2" s="7"/>
      <x:c r="L2" s="7"/>
      <x:c r="M2" s="7"/>
      <x:c r="N2" s="7"/>
      <x:c r="O2" s="7"/>
      <x:c r="P2" s="7"/>
      <x:c r="Q2" s="7"/>
      <x:c r="R2" s="7"/>
      <x:c r="S2" s="7"/>
      <x:c r="T2" s="7"/>
      <x:c r="U2" s="7"/>
      <x:c r="V2" s="7"/>
    </x:row>
    <x:row r="4">
      <x:c r="A4" s="102" t="str">
        <x:v>Total net exposure</x:v>
      </x:c>
      <x:c r="B4" s="103"/>
      <x:c r="C4" s="103"/>
      <x:c r="D4" s="104"/>
      <x:c r="F4" s="102" t="str">
        <x:v>Limit utilisation</x:v>
      </x:c>
      <x:c r="G4" s="103"/>
      <x:c r="H4" s="103"/>
      <x:c r="I4" s="104"/>
      <x:c r="K4" s="102" t="str">
        <x:v>Expected loss</x:v>
      </x:c>
      <x:c r="L4" s="103"/>
      <x:c r="M4" s="103"/>
      <x:c r="N4" s="104"/>
      <x:c r="P4" s="102" t="str">
        <x:v>Watchlist names</x:v>
      </x:c>
      <x:c r="Q4" s="103"/>
      <x:c r="R4" s="103"/>
      <x:c r="S4" s="104"/>
    </x:row>
    <x:row r="5">
      <x:c r="A5" s="208" t="n">
        <x:f>SUM(M8:M47)</x:f>
        <x:v>63000000</x:v>
      </x:c>
      <x:c r="B5" s="209"/>
      <x:c r="C5" s="209"/>
      <x:c r="D5" s="210"/>
      <x:c r="F5" s="211" t="n">
        <x:f>SUM(J8:J47)/SUM(G8:G47)</x:f>
        <x:v>0.6584070796460177</x:v>
      </x:c>
      <x:c r="G5" s="212"/>
      <x:c r="H5" s="212"/>
      <x:c r="I5" s="213"/>
      <x:c r="K5" s="208" t="n">
        <x:f>SUM(P8:P47)</x:f>
        <x:v>203015</x:v>
      </x:c>
      <x:c r="L5" s="209"/>
      <x:c r="M5" s="209"/>
      <x:c r="N5" s="210"/>
      <x:c r="P5" s="105" t="n">
        <x:f>COUNTIF(Q8:Q47,"Yes")</x:f>
        <x:v>2</x:v>
      </x:c>
      <x:c r="Q5" s="106"/>
      <x:c r="R5" s="106"/>
      <x:c r="S5" s="107"/>
    </x:row>
    <x:row r="7" ht="32" customHeight="1">
      <x:c r="A7" s="126" t="str">
        <x:v>Counterparty ID</x:v>
      </x:c>
      <x:c r="B7" s="127" t="str">
        <x:v>Counterparty</x:v>
      </x:c>
      <x:c r="C7" s="127" t="str">
        <x:v>Sector</x:v>
      </x:c>
      <x:c r="D7" s="127" t="str">
        <x:v>Country</x:v>
      </x:c>
      <x:c r="E7" s="127" t="str">
        <x:v>Internal rating</x:v>
      </x:c>
      <x:c r="F7" s="127" t="str">
        <x:v>External rating</x:v>
      </x:c>
      <x:c r="G7" s="127" t="str">
        <x:v>Limit (£)</x:v>
      </x:c>
      <x:c r="H7" s="127" t="str">
        <x:v>Current exposure (£)</x:v>
      </x:c>
      <x:c r="I7" s="127" t="str">
        <x:v>Potential future exposure (£)</x:v>
      </x:c>
      <x:c r="J7" s="127" t="str">
        <x:v>Total exposure (£)</x:v>
      </x:c>
      <x:c r="K7" s="127" t="str">
        <x:v>Utilisation</x:v>
      </x:c>
      <x:c r="L7" s="127" t="str">
        <x:v>Eligible collateral (£)</x:v>
      </x:c>
      <x:c r="M7" s="127" t="str">
        <x:v>Net exposure (£)</x:v>
      </x:c>
      <x:c r="N7" s="127" t="str">
        <x:v>PD</x:v>
      </x:c>
      <x:c r="O7" s="127" t="str">
        <x:v>LGD</x:v>
      </x:c>
      <x:c r="P7" s="127" t="str">
        <x:v>Expected loss (£)</x:v>
      </x:c>
      <x:c r="Q7" s="127" t="str">
        <x:v>Watchlist?</x:v>
      </x:c>
      <x:c r="R7" s="127" t="str">
        <x:v>Covenant / trigger</x:v>
      </x:c>
      <x:c r="S7" s="127" t="str">
        <x:v>Last review</x:v>
      </x:c>
      <x:c r="T7" s="127" t="str">
        <x:v>Next review</x:v>
      </x:c>
      <x:c r="U7" s="127" t="str">
        <x:v>Status</x:v>
      </x:c>
      <x:c r="V7" s="128" t="str">
        <x:v>Commentary</x:v>
      </x:c>
    </x:row>
    <x:row r="8">
      <x:c r="A8" s="139" t="str">
        <x:v>CP-001</x:v>
      </x:c>
      <x:c r="B8" s="139" t="str">
        <x:v>Northbank Securities</x:v>
      </x:c>
      <x:c r="C8" s="139" t="str">
        <x:v>Broker / dealer</x:v>
      </x:c>
      <x:c r="D8" s="139" t="str">
        <x:v>UK</x:v>
      </x:c>
      <x:c r="E8" s="139" t="str">
        <x:v>A</x:v>
      </x:c>
      <x:c r="F8" s="139" t="str">
        <x:v>A-</x:v>
      </x:c>
      <x:c r="G8" s="163" t="n">
        <x:v>25000000</x:v>
      </x:c>
      <x:c r="H8" s="163" t="n">
        <x:v>14500000</x:v>
      </x:c>
      <x:c r="I8" s="163" t="n">
        <x:v>3500000</x:v>
      </x:c>
      <x:c r="J8" s="214" t="n">
        <x:f>IF(A8="","",H8+I8)</x:f>
        <x:v>18000000</x:v>
      </x:c>
      <x:c r="K8" s="217" t="n">
        <x:f>IF(OR(A8="",G8=0),"",J8/G8)</x:f>
        <x:v>0.72</x:v>
      </x:c>
      <x:c r="L8" s="163" t="n">
        <x:v>4200000</x:v>
      </x:c>
      <x:c r="M8" s="214" t="n">
        <x:f>IF(A8="","",MAX(J8-L8,0))</x:f>
        <x:v>13800000</x:v>
      </x:c>
      <x:c r="N8" s="220" t="n">
        <x:v>0.003</x:v>
      </x:c>
      <x:c r="O8" s="220" t="n">
        <x:v>0.45</x:v>
      </x:c>
      <x:c r="P8" s="214" t="n">
        <x:f>IF(A8="","",ROUND(M8*N8*O8,0))</x:f>
        <x:v>18630</x:v>
      </x:c>
      <x:c r="Q8" s="139" t="str">
        <x:v>No</x:v>
      </x:c>
      <x:c r="R8" s="139" t="str">
        <x:v>Utilisation below 80%</x:v>
      </x:c>
      <x:c r="S8" s="154" t="n">
        <x:v>46234</x:v>
      </x:c>
      <x:c r="T8" s="154" t="n">
        <x:v>46326</x:v>
      </x:c>
      <x:c r="U8" s="139" t="str">
        <x:v>Green</x:v>
      </x:c>
      <x:c r="V8" s="139" t="str">
        <x:v>Stable exposure and collateral profile.</x:v>
      </x:c>
    </x:row>
    <x:row r="9">
      <x:c r="A9" s="140" t="str">
        <x:v>CP-002</x:v>
      </x:c>
      <x:c r="B9" s="140" t="str">
        <x:v>Euro Clearing SA</x:v>
      </x:c>
      <x:c r="C9" s="140" t="str">
        <x:v>CCP / clearing</x:v>
      </x:c>
      <x:c r="D9" s="140" t="str">
        <x:v>France</x:v>
      </x:c>
      <x:c r="E9" s="140" t="str">
        <x:v>AA-</x:v>
      </x:c>
      <x:c r="F9" s="140" t="str">
        <x:v>AA</x:v>
      </x:c>
      <x:c r="G9" s="164" t="n">
        <x:v>40000000</x:v>
      </x:c>
      <x:c r="H9" s="164" t="n">
        <x:v>18200000</x:v>
      </x:c>
      <x:c r="I9" s="164" t="n">
        <x:v>4200000</x:v>
      </x:c>
      <x:c r="J9" s="215" t="n">
        <x:f>IF(A9="","",H9+I9)</x:f>
        <x:v>22400000</x:v>
      </x:c>
      <x:c r="K9" s="218" t="n">
        <x:f>IF(OR(A9="",G9=0),"",J9/G9)</x:f>
        <x:v>0.56</x:v>
      </x:c>
      <x:c r="L9" s="164" t="n">
        <x:v>2500000</x:v>
      </x:c>
      <x:c r="M9" s="215" t="n">
        <x:f>IF(A9="","",MAX(J9-L9,0))</x:f>
        <x:v>19900000</x:v>
      </x:c>
      <x:c r="N9" s="221" t="n">
        <x:v>0.001</x:v>
      </x:c>
      <x:c r="O9" s="221" t="n">
        <x:v>0.35</x:v>
      </x:c>
      <x:c r="P9" s="215" t="n">
        <x:f>IF(A9="","",ROUND(M9*N9*O9,0))</x:f>
        <x:v>6965</x:v>
      </x:c>
      <x:c r="Q9" s="140" t="str">
        <x:v>No</x:v>
      </x:c>
      <x:c r="R9" s="140" t="str">
        <x:v>Minimum external rating A-</x:v>
      </x:c>
      <x:c r="S9" s="155" t="n">
        <x:v>46249</x:v>
      </x:c>
      <x:c r="T9" s="155" t="n">
        <x:v>46341</x:v>
      </x:c>
      <x:c r="U9" s="140" t="str">
        <x:v>Green</x:v>
      </x:c>
      <x:c r="V9" s="140" t="str">
        <x:v>Central clearing exposure within appetite.</x:v>
      </x:c>
    </x:row>
    <x:row r="10">
      <x:c r="A10" s="140" t="str">
        <x:v>CP-003</x:v>
      </x:c>
      <x:c r="B10" s="140" t="str">
        <x:v>Global Prime Ltd</x:v>
      </x:c>
      <x:c r="C10" s="140" t="str">
        <x:v>Prime broker</x:v>
      </x:c>
      <x:c r="D10" s="140" t="str">
        <x:v>UK</x:v>
      </x:c>
      <x:c r="E10" s="140" t="str">
        <x:v>BBB+</x:v>
      </x:c>
      <x:c r="F10" s="140" t="str">
        <x:v>BBB</x:v>
      </x:c>
      <x:c r="G10" s="164" t="n">
        <x:v>18000000</x:v>
      </x:c>
      <x:c r="H10" s="164" t="n">
        <x:v>12500000</x:v>
      </x:c>
      <x:c r="I10" s="164" t="n">
        <x:v>3800000</x:v>
      </x:c>
      <x:c r="J10" s="215" t="n">
        <x:f>IF(A10="","",H10+I10)</x:f>
        <x:v>16300000</x:v>
      </x:c>
      <x:c r="K10" s="218" t="n">
        <x:f>IF(OR(A10="",G10=0),"",J10/G10)</x:f>
        <x:v>0.9055555555555556</x:v>
      </x:c>
      <x:c r="L10" s="164" t="n">
        <x:v>3100000</x:v>
      </x:c>
      <x:c r="M10" s="215" t="n">
        <x:f>IF(A10="","",MAX(J10-L10,0))</x:f>
        <x:v>13200000</x:v>
      </x:c>
      <x:c r="N10" s="221" t="n">
        <x:v>0.009</x:v>
      </x:c>
      <x:c r="O10" s="221" t="n">
        <x:v>0.5</x:v>
      </x:c>
      <x:c r="P10" s="215" t="n">
        <x:f>IF(A10="","",ROUND(M10*N10*O10,0))</x:f>
        <x:v>59400</x:v>
      </x:c>
      <x:c r="Q10" s="140" t="str">
        <x:v>Yes</x:v>
      </x:c>
      <x:c r="R10" s="140" t="str">
        <x:v>Utilisation above 85%</x:v>
      </x:c>
      <x:c r="S10" s="155" t="n">
        <x:v>46254</x:v>
      </x:c>
      <x:c r="T10" s="155" t="n">
        <x:v>46270</x:v>
      </x:c>
      <x:c r="U10" s="140" t="str">
        <x:v>Amber</x:v>
      </x:c>
      <x:c r="V10" s="140" t="str">
        <x:v>Review additional collateral and diversification.</x:v>
      </x:c>
    </x:row>
    <x:row r="11">
      <x:c r="A11" s="140" t="str">
        <x:v>CP-004</x:v>
      </x:c>
      <x:c r="B11" s="140" t="str">
        <x:v>Asia Custody Bank</x:v>
      </x:c>
      <x:c r="C11" s="140" t="str">
        <x:v>Custodian</x:v>
      </x:c>
      <x:c r="D11" s="140" t="str">
        <x:v>Singapore</x:v>
      </x:c>
      <x:c r="E11" s="140" t="str">
        <x:v>A-</x:v>
      </x:c>
      <x:c r="F11" s="140" t="str">
        <x:v>A-</x:v>
      </x:c>
      <x:c r="G11" s="164" t="n">
        <x:v>22000000</x:v>
      </x:c>
      <x:c r="H11" s="164" t="n">
        <x:v>9000000</x:v>
      </x:c>
      <x:c r="I11" s="164" t="n">
        <x:v>1800000</x:v>
      </x:c>
      <x:c r="J11" s="215" t="n">
        <x:f>IF(A11="","",H11+I11)</x:f>
        <x:v>10800000</x:v>
      </x:c>
      <x:c r="K11" s="218" t="n">
        <x:f>IF(OR(A11="",G11=0),"",J11/G11)</x:f>
        <x:v>0.4909090909090909</x:v>
      </x:c>
      <x:c r="L11" s="164" t="n">
        <x:v>1000000</x:v>
      </x:c>
      <x:c r="M11" s="215" t="n">
        <x:f>IF(A11="","",MAX(J11-L11,0))</x:f>
        <x:v>9800000</x:v>
      </x:c>
      <x:c r="N11" s="221" t="n">
        <x:v>0.006</x:v>
      </x:c>
      <x:c r="O11" s="221" t="n">
        <x:v>0.4</x:v>
      </x:c>
      <x:c r="P11" s="215" t="n">
        <x:f>IF(A11="","",ROUND(M11*N11*O11,0))</x:f>
        <x:v>23520</x:v>
      </x:c>
      <x:c r="Q11" s="140" t="str">
        <x:v>No</x:v>
      </x:c>
      <x:c r="R11" s="140" t="str">
        <x:v>Country concentration limit</x:v>
      </x:c>
      <x:c r="S11" s="155" t="n">
        <x:v>46223</x:v>
      </x:c>
      <x:c r="T11" s="155" t="n">
        <x:v>46315</x:v>
      </x:c>
      <x:c r="U11" s="140" t="str">
        <x:v>Green</x:v>
      </x:c>
      <x:c r="V11" s="140" t="str">
        <x:v>No material exceptions.</x:v>
      </x:c>
    </x:row>
    <x:row r="12">
      <x:c r="A12" s="140" t="str">
        <x:v>CP-005</x:v>
      </x:c>
      <x:c r="B12" s="140" t="str">
        <x:v>Digital Payments Plc</x:v>
      </x:c>
      <x:c r="C12" s="140" t="str">
        <x:v>Financial institution</x:v>
      </x:c>
      <x:c r="D12" s="140" t="str">
        <x:v>UK</x:v>
      </x:c>
      <x:c r="E12" s="140" t="str">
        <x:v>BB+</x:v>
      </x:c>
      <x:c r="F12" s="140" t="str">
        <x:v>BB</x:v>
      </x:c>
      <x:c r="G12" s="164" t="n">
        <x:v>8000000</x:v>
      </x:c>
      <x:c r="H12" s="164" t="n">
        <x:v>5200000</x:v>
      </x:c>
      <x:c r="I12" s="164" t="n">
        <x:v>1700000</x:v>
      </x:c>
      <x:c r="J12" s="215" t="n">
        <x:f>IF(A12="","",H12+I12)</x:f>
        <x:v>6900000</x:v>
      </x:c>
      <x:c r="K12" s="218" t="n">
        <x:f>IF(OR(A12="",G12=0),"",J12/G12)</x:f>
        <x:v>0.8625</x:v>
      </x:c>
      <x:c r="L12" s="164" t="n">
        <x:v>600000</x:v>
      </x:c>
      <x:c r="M12" s="215" t="n">
        <x:f>IF(A12="","",MAX(J12-L12,0))</x:f>
        <x:v>6300000</x:v>
      </x:c>
      <x:c r="N12" s="221" t="n">
        <x:v>0.025</x:v>
      </x:c>
      <x:c r="O12" s="221" t="n">
        <x:v>0.6</x:v>
      </x:c>
      <x:c r="P12" s="215" t="n">
        <x:f>IF(A12="","",ROUND(M12*N12*O12,0))</x:f>
        <x:v>94500</x:v>
      </x:c>
      <x:c r="Q12" s="140" t="str">
        <x:v>Yes</x:v>
      </x:c>
      <x:c r="R12" s="140" t="str">
        <x:v>Rating below BBB-</x:v>
      </x:c>
      <x:c r="S12" s="155" t="n">
        <x:v>46259</x:v>
      </x:c>
      <x:c r="T12" s="155" t="n">
        <x:v>46266</x:v>
      </x:c>
      <x:c r="U12" s="140" t="str">
        <x:v>Red</x:v>
      </x:c>
      <x:c r="V12" s="140" t="str">
        <x:v>Limit reduction and enhanced monitoring escalated.</x:v>
      </x:c>
    </x:row>
    <x:row r="13">
      <x:c r="A13" s="140"/>
      <x:c r="B13" s="140"/>
      <x:c r="C13" s="140"/>
      <x:c r="D13" s="140"/>
      <x:c r="E13" s="140"/>
      <x:c r="F13" s="140"/>
      <x:c r="G13" s="164"/>
      <x:c r="H13" s="164"/>
      <x:c r="I13" s="164"/>
      <x:c r="J13" s="215" t="str">
        <x:f>IF(A13="","",H13+I13)</x:f>
      </x:c>
      <x:c r="K13" s="218" t="str">
        <x:f>IF(OR(A13="",G13=0),"",J13/G13)</x:f>
      </x:c>
      <x:c r="L13" s="164"/>
      <x:c r="M13" s="215" t="str">
        <x:f>IF(A13="","",MAX(J13-L13,0))</x:f>
      </x:c>
      <x:c r="N13" s="221"/>
      <x:c r="O13" s="221"/>
      <x:c r="P13" s="215" t="str">
        <x:f>IF(A13="","",ROUND(M13*N13*O13,0))</x:f>
      </x:c>
      <x:c r="Q13" s="140"/>
      <x:c r="R13" s="140"/>
      <x:c r="S13" s="155"/>
      <x:c r="T13" s="155"/>
      <x:c r="U13" s="140"/>
      <x:c r="V13" s="140"/>
    </x:row>
    <x:row r="14">
      <x:c r="A14" s="140"/>
      <x:c r="B14" s="140"/>
      <x:c r="C14" s="140"/>
      <x:c r="D14" s="140"/>
      <x:c r="E14" s="140"/>
      <x:c r="F14" s="140"/>
      <x:c r="G14" s="164"/>
      <x:c r="H14" s="164"/>
      <x:c r="I14" s="164"/>
      <x:c r="J14" s="215" t="str">
        <x:f>IF(A14="","",H14+I14)</x:f>
      </x:c>
      <x:c r="K14" s="218" t="str">
        <x:f>IF(OR(A14="",G14=0),"",J14/G14)</x:f>
      </x:c>
      <x:c r="L14" s="164"/>
      <x:c r="M14" s="215" t="str">
        <x:f>IF(A14="","",MAX(J14-L14,0))</x:f>
      </x:c>
      <x:c r="N14" s="221"/>
      <x:c r="O14" s="221"/>
      <x:c r="P14" s="215" t="str">
        <x:f>IF(A14="","",ROUND(M14*N14*O14,0))</x:f>
      </x:c>
      <x:c r="Q14" s="140"/>
      <x:c r="R14" s="140"/>
      <x:c r="S14" s="155"/>
      <x:c r="T14" s="155"/>
      <x:c r="U14" s="140"/>
      <x:c r="V14" s="140"/>
    </x:row>
    <x:row r="15">
      <x:c r="A15" s="140"/>
      <x:c r="B15" s="140"/>
      <x:c r="C15" s="140"/>
      <x:c r="D15" s="140"/>
      <x:c r="E15" s="140"/>
      <x:c r="F15" s="140"/>
      <x:c r="G15" s="164"/>
      <x:c r="H15" s="164"/>
      <x:c r="I15" s="164"/>
      <x:c r="J15" s="215" t="str">
        <x:f>IF(A15="","",H15+I15)</x:f>
      </x:c>
      <x:c r="K15" s="218" t="str">
        <x:f>IF(OR(A15="",G15=0),"",J15/G15)</x:f>
      </x:c>
      <x:c r="L15" s="164"/>
      <x:c r="M15" s="215" t="str">
        <x:f>IF(A15="","",MAX(J15-L15,0))</x:f>
      </x:c>
      <x:c r="N15" s="221"/>
      <x:c r="O15" s="221"/>
      <x:c r="P15" s="215" t="str">
        <x:f>IF(A15="","",ROUND(M15*N15*O15,0))</x:f>
      </x:c>
      <x:c r="Q15" s="140"/>
      <x:c r="R15" s="140"/>
      <x:c r="S15" s="155"/>
      <x:c r="T15" s="155"/>
      <x:c r="U15" s="140"/>
      <x:c r="V15" s="140"/>
    </x:row>
    <x:row r="16">
      <x:c r="A16" s="140"/>
      <x:c r="B16" s="140"/>
      <x:c r="C16" s="140"/>
      <x:c r="D16" s="140"/>
      <x:c r="E16" s="140"/>
      <x:c r="F16" s="140"/>
      <x:c r="G16" s="164"/>
      <x:c r="H16" s="164"/>
      <x:c r="I16" s="164"/>
      <x:c r="J16" s="215" t="str">
        <x:f>IF(A16="","",H16+I16)</x:f>
      </x:c>
      <x:c r="K16" s="218" t="str">
        <x:f>IF(OR(A16="",G16=0),"",J16/G16)</x:f>
      </x:c>
      <x:c r="L16" s="164"/>
      <x:c r="M16" s="215" t="str">
        <x:f>IF(A16="","",MAX(J16-L16,0))</x:f>
      </x:c>
      <x:c r="N16" s="221"/>
      <x:c r="O16" s="221"/>
      <x:c r="P16" s="215" t="str">
        <x:f>IF(A16="","",ROUND(M16*N16*O16,0))</x:f>
      </x:c>
      <x:c r="Q16" s="140"/>
      <x:c r="R16" s="140"/>
      <x:c r="S16" s="155"/>
      <x:c r="T16" s="155"/>
      <x:c r="U16" s="140"/>
      <x:c r="V16" s="140"/>
    </x:row>
    <x:row r="17">
      <x:c r="A17" s="140"/>
      <x:c r="B17" s="140"/>
      <x:c r="C17" s="140"/>
      <x:c r="D17" s="140"/>
      <x:c r="E17" s="140"/>
      <x:c r="F17" s="140"/>
      <x:c r="G17" s="164"/>
      <x:c r="H17" s="164"/>
      <x:c r="I17" s="164"/>
      <x:c r="J17" s="215" t="str">
        <x:f>IF(A17="","",H17+I17)</x:f>
      </x:c>
      <x:c r="K17" s="218" t="str">
        <x:f>IF(OR(A17="",G17=0),"",J17/G17)</x:f>
      </x:c>
      <x:c r="L17" s="164"/>
      <x:c r="M17" s="215" t="str">
        <x:f>IF(A17="","",MAX(J17-L17,0))</x:f>
      </x:c>
      <x:c r="N17" s="221"/>
      <x:c r="O17" s="221"/>
      <x:c r="P17" s="215" t="str">
        <x:f>IF(A17="","",ROUND(M17*N17*O17,0))</x:f>
      </x:c>
      <x:c r="Q17" s="140"/>
      <x:c r="R17" s="140"/>
      <x:c r="S17" s="155"/>
      <x:c r="T17" s="155"/>
      <x:c r="U17" s="140"/>
      <x:c r="V17" s="140"/>
    </x:row>
    <x:row r="18">
      <x:c r="A18" s="140"/>
      <x:c r="B18" s="140"/>
      <x:c r="C18" s="140"/>
      <x:c r="D18" s="140"/>
      <x:c r="E18" s="140"/>
      <x:c r="F18" s="140"/>
      <x:c r="G18" s="164"/>
      <x:c r="H18" s="164"/>
      <x:c r="I18" s="164"/>
      <x:c r="J18" s="215" t="str">
        <x:f>IF(A18="","",H18+I18)</x:f>
      </x:c>
      <x:c r="K18" s="218" t="str">
        <x:f>IF(OR(A18="",G18=0),"",J18/G18)</x:f>
      </x:c>
      <x:c r="L18" s="164"/>
      <x:c r="M18" s="215" t="str">
        <x:f>IF(A18="","",MAX(J18-L18,0))</x:f>
      </x:c>
      <x:c r="N18" s="221"/>
      <x:c r="O18" s="221"/>
      <x:c r="P18" s="215" t="str">
        <x:f>IF(A18="","",ROUND(M18*N18*O18,0))</x:f>
      </x:c>
      <x:c r="Q18" s="140"/>
      <x:c r="R18" s="140"/>
      <x:c r="S18" s="155"/>
      <x:c r="T18" s="155"/>
      <x:c r="U18" s="140"/>
      <x:c r="V18" s="140"/>
    </x:row>
    <x:row r="19">
      <x:c r="A19" s="140"/>
      <x:c r="B19" s="140"/>
      <x:c r="C19" s="140"/>
      <x:c r="D19" s="140"/>
      <x:c r="E19" s="140"/>
      <x:c r="F19" s="140"/>
      <x:c r="G19" s="164"/>
      <x:c r="H19" s="164"/>
      <x:c r="I19" s="164"/>
      <x:c r="J19" s="215" t="str">
        <x:f>IF(A19="","",H19+I19)</x:f>
      </x:c>
      <x:c r="K19" s="218" t="str">
        <x:f>IF(OR(A19="",G19=0),"",J19/G19)</x:f>
      </x:c>
      <x:c r="L19" s="164"/>
      <x:c r="M19" s="215" t="str">
        <x:f>IF(A19="","",MAX(J19-L19,0))</x:f>
      </x:c>
      <x:c r="N19" s="221"/>
      <x:c r="O19" s="221"/>
      <x:c r="P19" s="215" t="str">
        <x:f>IF(A19="","",ROUND(M19*N19*O19,0))</x:f>
      </x:c>
      <x:c r="Q19" s="140"/>
      <x:c r="R19" s="140"/>
      <x:c r="S19" s="155"/>
      <x:c r="T19" s="155"/>
      <x:c r="U19" s="140"/>
      <x:c r="V19" s="140"/>
    </x:row>
    <x:row r="20">
      <x:c r="A20" s="140"/>
      <x:c r="B20" s="140"/>
      <x:c r="C20" s="140"/>
      <x:c r="D20" s="140"/>
      <x:c r="E20" s="140"/>
      <x:c r="F20" s="140"/>
      <x:c r="G20" s="164"/>
      <x:c r="H20" s="164"/>
      <x:c r="I20" s="164"/>
      <x:c r="J20" s="215" t="str">
        <x:f>IF(A20="","",H20+I20)</x:f>
      </x:c>
      <x:c r="K20" s="218" t="str">
        <x:f>IF(OR(A20="",G20=0),"",J20/G20)</x:f>
      </x:c>
      <x:c r="L20" s="164"/>
      <x:c r="M20" s="215" t="str">
        <x:f>IF(A20="","",MAX(J20-L20,0))</x:f>
      </x:c>
      <x:c r="N20" s="221"/>
      <x:c r="O20" s="221"/>
      <x:c r="P20" s="215" t="str">
        <x:f>IF(A20="","",ROUND(M20*N20*O20,0))</x:f>
      </x:c>
      <x:c r="Q20" s="140"/>
      <x:c r="R20" s="140"/>
      <x:c r="S20" s="155"/>
      <x:c r="T20" s="155"/>
      <x:c r="U20" s="140"/>
      <x:c r="V20" s="140"/>
    </x:row>
    <x:row r="21">
      <x:c r="A21" s="140"/>
      <x:c r="B21" s="140"/>
      <x:c r="C21" s="140"/>
      <x:c r="D21" s="140"/>
      <x:c r="E21" s="140"/>
      <x:c r="F21" s="140"/>
      <x:c r="G21" s="164"/>
      <x:c r="H21" s="164"/>
      <x:c r="I21" s="164"/>
      <x:c r="J21" s="215" t="str">
        <x:f>IF(A21="","",H21+I21)</x:f>
      </x:c>
      <x:c r="K21" s="218" t="str">
        <x:f>IF(OR(A21="",G21=0),"",J21/G21)</x:f>
      </x:c>
      <x:c r="L21" s="164"/>
      <x:c r="M21" s="215" t="str">
        <x:f>IF(A21="","",MAX(J21-L21,0))</x:f>
      </x:c>
      <x:c r="N21" s="221"/>
      <x:c r="O21" s="221"/>
      <x:c r="P21" s="215" t="str">
        <x:f>IF(A21="","",ROUND(M21*N21*O21,0))</x:f>
      </x:c>
      <x:c r="Q21" s="140"/>
      <x:c r="R21" s="140"/>
      <x:c r="S21" s="155"/>
      <x:c r="T21" s="155"/>
      <x:c r="U21" s="140"/>
      <x:c r="V21" s="140"/>
    </x:row>
    <x:row r="22">
      <x:c r="A22" s="140"/>
      <x:c r="B22" s="140"/>
      <x:c r="C22" s="140"/>
      <x:c r="D22" s="140"/>
      <x:c r="E22" s="140"/>
      <x:c r="F22" s="140"/>
      <x:c r="G22" s="164"/>
      <x:c r="H22" s="164"/>
      <x:c r="I22" s="164"/>
      <x:c r="J22" s="215" t="str">
        <x:f>IF(A22="","",H22+I22)</x:f>
      </x:c>
      <x:c r="K22" s="218" t="str">
        <x:f>IF(OR(A22="",G22=0),"",J22/G22)</x:f>
      </x:c>
      <x:c r="L22" s="164"/>
      <x:c r="M22" s="215" t="str">
        <x:f>IF(A22="","",MAX(J22-L22,0))</x:f>
      </x:c>
      <x:c r="N22" s="221"/>
      <x:c r="O22" s="221"/>
      <x:c r="P22" s="215" t="str">
        <x:f>IF(A22="","",ROUND(M22*N22*O22,0))</x:f>
      </x:c>
      <x:c r="Q22" s="140"/>
      <x:c r="R22" s="140"/>
      <x:c r="S22" s="155"/>
      <x:c r="T22" s="155"/>
      <x:c r="U22" s="140"/>
      <x:c r="V22" s="140"/>
    </x:row>
    <x:row r="23">
      <x:c r="A23" s="140"/>
      <x:c r="B23" s="140"/>
      <x:c r="C23" s="140"/>
      <x:c r="D23" s="140"/>
      <x:c r="E23" s="140"/>
      <x:c r="F23" s="140"/>
      <x:c r="G23" s="164"/>
      <x:c r="H23" s="164"/>
      <x:c r="I23" s="164"/>
      <x:c r="J23" s="215" t="str">
        <x:f>IF(A23="","",H23+I23)</x:f>
      </x:c>
      <x:c r="K23" s="218" t="str">
        <x:f>IF(OR(A23="",G23=0),"",J23/G23)</x:f>
      </x:c>
      <x:c r="L23" s="164"/>
      <x:c r="M23" s="215" t="str">
        <x:f>IF(A23="","",MAX(J23-L23,0))</x:f>
      </x:c>
      <x:c r="N23" s="221"/>
      <x:c r="O23" s="221"/>
      <x:c r="P23" s="215" t="str">
        <x:f>IF(A23="","",ROUND(M23*N23*O23,0))</x:f>
      </x:c>
      <x:c r="Q23" s="140"/>
      <x:c r="R23" s="140"/>
      <x:c r="S23" s="155"/>
      <x:c r="T23" s="155"/>
      <x:c r="U23" s="140"/>
      <x:c r="V23" s="140"/>
    </x:row>
    <x:row r="24">
      <x:c r="A24" s="140"/>
      <x:c r="B24" s="140"/>
      <x:c r="C24" s="140"/>
      <x:c r="D24" s="140"/>
      <x:c r="E24" s="140"/>
      <x:c r="F24" s="140"/>
      <x:c r="G24" s="164"/>
      <x:c r="H24" s="164"/>
      <x:c r="I24" s="164"/>
      <x:c r="J24" s="215" t="str">
        <x:f>IF(A24="","",H24+I24)</x:f>
      </x:c>
      <x:c r="K24" s="218" t="str">
        <x:f>IF(OR(A24="",G24=0),"",J24/G24)</x:f>
      </x:c>
      <x:c r="L24" s="164"/>
      <x:c r="M24" s="215" t="str">
        <x:f>IF(A24="","",MAX(J24-L24,0))</x:f>
      </x:c>
      <x:c r="N24" s="221"/>
      <x:c r="O24" s="221"/>
      <x:c r="P24" s="215" t="str">
        <x:f>IF(A24="","",ROUND(M24*N24*O24,0))</x:f>
      </x:c>
      <x:c r="Q24" s="140"/>
      <x:c r="R24" s="140"/>
      <x:c r="S24" s="155"/>
      <x:c r="T24" s="155"/>
      <x:c r="U24" s="140"/>
      <x:c r="V24" s="140"/>
    </x:row>
    <x:row r="25">
      <x:c r="A25" s="140"/>
      <x:c r="B25" s="140"/>
      <x:c r="C25" s="140"/>
      <x:c r="D25" s="140"/>
      <x:c r="E25" s="140"/>
      <x:c r="F25" s="140"/>
      <x:c r="G25" s="164"/>
      <x:c r="H25" s="164"/>
      <x:c r="I25" s="164"/>
      <x:c r="J25" s="215" t="str">
        <x:f>IF(A25="","",H25+I25)</x:f>
      </x:c>
      <x:c r="K25" s="218" t="str">
        <x:f>IF(OR(A25="",G25=0),"",J25/G25)</x:f>
      </x:c>
      <x:c r="L25" s="164"/>
      <x:c r="M25" s="215" t="str">
        <x:f>IF(A25="","",MAX(J25-L25,0))</x:f>
      </x:c>
      <x:c r="N25" s="221"/>
      <x:c r="O25" s="221"/>
      <x:c r="P25" s="215" t="str">
        <x:f>IF(A25="","",ROUND(M25*N25*O25,0))</x:f>
      </x:c>
      <x:c r="Q25" s="140"/>
      <x:c r="R25" s="140"/>
      <x:c r="S25" s="155"/>
      <x:c r="T25" s="155"/>
      <x:c r="U25" s="140"/>
      <x:c r="V25" s="140"/>
    </x:row>
    <x:row r="26">
      <x:c r="A26" s="140"/>
      <x:c r="B26" s="140"/>
      <x:c r="C26" s="140"/>
      <x:c r="D26" s="140"/>
      <x:c r="E26" s="140"/>
      <x:c r="F26" s="140"/>
      <x:c r="G26" s="164"/>
      <x:c r="H26" s="164"/>
      <x:c r="I26" s="164"/>
      <x:c r="J26" s="215" t="str">
        <x:f>IF(A26="","",H26+I26)</x:f>
      </x:c>
      <x:c r="K26" s="218" t="str">
        <x:f>IF(OR(A26="",G26=0),"",J26/G26)</x:f>
      </x:c>
      <x:c r="L26" s="164"/>
      <x:c r="M26" s="215" t="str">
        <x:f>IF(A26="","",MAX(J26-L26,0))</x:f>
      </x:c>
      <x:c r="N26" s="221"/>
      <x:c r="O26" s="221"/>
      <x:c r="P26" s="215" t="str">
        <x:f>IF(A26="","",ROUND(M26*N26*O26,0))</x:f>
      </x:c>
      <x:c r="Q26" s="140"/>
      <x:c r="R26" s="140"/>
      <x:c r="S26" s="155"/>
      <x:c r="T26" s="155"/>
      <x:c r="U26" s="140"/>
      <x:c r="V26" s="140"/>
    </x:row>
    <x:row r="27">
      <x:c r="A27" s="140"/>
      <x:c r="B27" s="140"/>
      <x:c r="C27" s="140"/>
      <x:c r="D27" s="140"/>
      <x:c r="E27" s="140"/>
      <x:c r="F27" s="140"/>
      <x:c r="G27" s="164"/>
      <x:c r="H27" s="164"/>
      <x:c r="I27" s="164"/>
      <x:c r="J27" s="215" t="str">
        <x:f>IF(A27="","",H27+I27)</x:f>
      </x:c>
      <x:c r="K27" s="218" t="str">
        <x:f>IF(OR(A27="",G27=0),"",J27/G27)</x:f>
      </x:c>
      <x:c r="L27" s="164"/>
      <x:c r="M27" s="215" t="str">
        <x:f>IF(A27="","",MAX(J27-L27,0))</x:f>
      </x:c>
      <x:c r="N27" s="221"/>
      <x:c r="O27" s="221"/>
      <x:c r="P27" s="215" t="str">
        <x:f>IF(A27="","",ROUND(M27*N27*O27,0))</x:f>
      </x:c>
      <x:c r="Q27" s="140"/>
      <x:c r="R27" s="140"/>
      <x:c r="S27" s="155"/>
      <x:c r="T27" s="155"/>
      <x:c r="U27" s="140"/>
      <x:c r="V27" s="140"/>
    </x:row>
    <x:row r="28">
      <x:c r="A28" s="140"/>
      <x:c r="B28" s="140"/>
      <x:c r="C28" s="140"/>
      <x:c r="D28" s="140"/>
      <x:c r="E28" s="140"/>
      <x:c r="F28" s="140"/>
      <x:c r="G28" s="164"/>
      <x:c r="H28" s="164"/>
      <x:c r="I28" s="164"/>
      <x:c r="J28" s="215" t="str">
        <x:f>IF(A28="","",H28+I28)</x:f>
      </x:c>
      <x:c r="K28" s="218" t="str">
        <x:f>IF(OR(A28="",G28=0),"",J28/G28)</x:f>
      </x:c>
      <x:c r="L28" s="164"/>
      <x:c r="M28" s="215" t="str">
        <x:f>IF(A28="","",MAX(J28-L28,0))</x:f>
      </x:c>
      <x:c r="N28" s="221"/>
      <x:c r="O28" s="221"/>
      <x:c r="P28" s="215" t="str">
        <x:f>IF(A28="","",ROUND(M28*N28*O28,0))</x:f>
      </x:c>
      <x:c r="Q28" s="140"/>
      <x:c r="R28" s="140"/>
      <x:c r="S28" s="155"/>
      <x:c r="T28" s="155"/>
      <x:c r="U28" s="140"/>
      <x:c r="V28" s="140"/>
    </x:row>
    <x:row r="29">
      <x:c r="A29" s="140"/>
      <x:c r="B29" s="140"/>
      <x:c r="C29" s="140"/>
      <x:c r="D29" s="140"/>
      <x:c r="E29" s="140"/>
      <x:c r="F29" s="140"/>
      <x:c r="G29" s="164"/>
      <x:c r="H29" s="164"/>
      <x:c r="I29" s="164"/>
      <x:c r="J29" s="215" t="str">
        <x:f>IF(A29="","",H29+I29)</x:f>
      </x:c>
      <x:c r="K29" s="218" t="str">
        <x:f>IF(OR(A29="",G29=0),"",J29/G29)</x:f>
      </x:c>
      <x:c r="L29" s="164"/>
      <x:c r="M29" s="215" t="str">
        <x:f>IF(A29="","",MAX(J29-L29,0))</x:f>
      </x:c>
      <x:c r="N29" s="221"/>
      <x:c r="O29" s="221"/>
      <x:c r="P29" s="215" t="str">
        <x:f>IF(A29="","",ROUND(M29*N29*O29,0))</x:f>
      </x:c>
      <x:c r="Q29" s="140"/>
      <x:c r="R29" s="140"/>
      <x:c r="S29" s="155"/>
      <x:c r="T29" s="155"/>
      <x:c r="U29" s="140"/>
      <x:c r="V29" s="140"/>
    </x:row>
    <x:row r="30">
      <x:c r="A30" s="140"/>
      <x:c r="B30" s="140"/>
      <x:c r="C30" s="140"/>
      <x:c r="D30" s="140"/>
      <x:c r="E30" s="140"/>
      <x:c r="F30" s="140"/>
      <x:c r="G30" s="164"/>
      <x:c r="H30" s="164"/>
      <x:c r="I30" s="164"/>
      <x:c r="J30" s="215" t="str">
        <x:f>IF(A30="","",H30+I30)</x:f>
      </x:c>
      <x:c r="K30" s="218" t="str">
        <x:f>IF(OR(A30="",G30=0),"",J30/G30)</x:f>
      </x:c>
      <x:c r="L30" s="164"/>
      <x:c r="M30" s="215" t="str">
        <x:f>IF(A30="","",MAX(J30-L30,0))</x:f>
      </x:c>
      <x:c r="N30" s="221"/>
      <x:c r="O30" s="221"/>
      <x:c r="P30" s="215" t="str">
        <x:f>IF(A30="","",ROUND(M30*N30*O30,0))</x:f>
      </x:c>
      <x:c r="Q30" s="140"/>
      <x:c r="R30" s="140"/>
      <x:c r="S30" s="155"/>
      <x:c r="T30" s="155"/>
      <x:c r="U30" s="140"/>
      <x:c r="V30" s="140"/>
    </x:row>
    <x:row r="31">
      <x:c r="A31" s="140"/>
      <x:c r="B31" s="140"/>
      <x:c r="C31" s="140"/>
      <x:c r="D31" s="140"/>
      <x:c r="E31" s="140"/>
      <x:c r="F31" s="140"/>
      <x:c r="G31" s="164"/>
      <x:c r="H31" s="164"/>
      <x:c r="I31" s="164"/>
      <x:c r="J31" s="215" t="str">
        <x:f>IF(A31="","",H31+I31)</x:f>
      </x:c>
      <x:c r="K31" s="218" t="str">
        <x:f>IF(OR(A31="",G31=0),"",J31/G31)</x:f>
      </x:c>
      <x:c r="L31" s="164"/>
      <x:c r="M31" s="215" t="str">
        <x:f>IF(A31="","",MAX(J31-L31,0))</x:f>
      </x:c>
      <x:c r="N31" s="221"/>
      <x:c r="O31" s="221"/>
      <x:c r="P31" s="215" t="str">
        <x:f>IF(A31="","",ROUND(M31*N31*O31,0))</x:f>
      </x:c>
      <x:c r="Q31" s="140"/>
      <x:c r="R31" s="140"/>
      <x:c r="S31" s="155"/>
      <x:c r="T31" s="155"/>
      <x:c r="U31" s="140"/>
      <x:c r="V31" s="140"/>
    </x:row>
    <x:row r="32">
      <x:c r="A32" s="140"/>
      <x:c r="B32" s="140"/>
      <x:c r="C32" s="140"/>
      <x:c r="D32" s="140"/>
      <x:c r="E32" s="140"/>
      <x:c r="F32" s="140"/>
      <x:c r="G32" s="164"/>
      <x:c r="H32" s="164"/>
      <x:c r="I32" s="164"/>
      <x:c r="J32" s="215" t="str">
        <x:f>IF(A32="","",H32+I32)</x:f>
      </x:c>
      <x:c r="K32" s="218" t="str">
        <x:f>IF(OR(A32="",G32=0),"",J32/G32)</x:f>
      </x:c>
      <x:c r="L32" s="164"/>
      <x:c r="M32" s="215" t="str">
        <x:f>IF(A32="","",MAX(J32-L32,0))</x:f>
      </x:c>
      <x:c r="N32" s="221"/>
      <x:c r="O32" s="221"/>
      <x:c r="P32" s="215" t="str">
        <x:f>IF(A32="","",ROUND(M32*N32*O32,0))</x:f>
      </x:c>
      <x:c r="Q32" s="140"/>
      <x:c r="R32" s="140"/>
      <x:c r="S32" s="155"/>
      <x:c r="T32" s="155"/>
      <x:c r="U32" s="140"/>
      <x:c r="V32" s="140"/>
    </x:row>
    <x:row r="33">
      <x:c r="A33" s="140"/>
      <x:c r="B33" s="140"/>
      <x:c r="C33" s="140"/>
      <x:c r="D33" s="140"/>
      <x:c r="E33" s="140"/>
      <x:c r="F33" s="140"/>
      <x:c r="G33" s="164"/>
      <x:c r="H33" s="164"/>
      <x:c r="I33" s="164"/>
      <x:c r="J33" s="215" t="str">
        <x:f>IF(A33="","",H33+I33)</x:f>
      </x:c>
      <x:c r="K33" s="218" t="str">
        <x:f>IF(OR(A33="",G33=0),"",J33/G33)</x:f>
      </x:c>
      <x:c r="L33" s="164"/>
      <x:c r="M33" s="215" t="str">
        <x:f>IF(A33="","",MAX(J33-L33,0))</x:f>
      </x:c>
      <x:c r="N33" s="221"/>
      <x:c r="O33" s="221"/>
      <x:c r="P33" s="215" t="str">
        <x:f>IF(A33="","",ROUND(M33*N33*O33,0))</x:f>
      </x:c>
      <x:c r="Q33" s="140"/>
      <x:c r="R33" s="140"/>
      <x:c r="S33" s="155"/>
      <x:c r="T33" s="155"/>
      <x:c r="U33" s="140"/>
      <x:c r="V33" s="140"/>
    </x:row>
    <x:row r="34">
      <x:c r="A34" s="140"/>
      <x:c r="B34" s="140"/>
      <x:c r="C34" s="140"/>
      <x:c r="D34" s="140"/>
      <x:c r="E34" s="140"/>
      <x:c r="F34" s="140"/>
      <x:c r="G34" s="164"/>
      <x:c r="H34" s="164"/>
      <x:c r="I34" s="164"/>
      <x:c r="J34" s="215" t="str">
        <x:f>IF(A34="","",H34+I34)</x:f>
      </x:c>
      <x:c r="K34" s="218" t="str">
        <x:f>IF(OR(A34="",G34=0),"",J34/G34)</x:f>
      </x:c>
      <x:c r="L34" s="164"/>
      <x:c r="M34" s="215" t="str">
        <x:f>IF(A34="","",MAX(J34-L34,0))</x:f>
      </x:c>
      <x:c r="N34" s="221"/>
      <x:c r="O34" s="221"/>
      <x:c r="P34" s="215" t="str">
        <x:f>IF(A34="","",ROUND(M34*N34*O34,0))</x:f>
      </x:c>
      <x:c r="Q34" s="140"/>
      <x:c r="R34" s="140"/>
      <x:c r="S34" s="155"/>
      <x:c r="T34" s="155"/>
      <x:c r="U34" s="140"/>
      <x:c r="V34" s="140"/>
    </x:row>
    <x:row r="35">
      <x:c r="A35" s="140"/>
      <x:c r="B35" s="140"/>
      <x:c r="C35" s="140"/>
      <x:c r="D35" s="140"/>
      <x:c r="E35" s="140"/>
      <x:c r="F35" s="140"/>
      <x:c r="G35" s="164"/>
      <x:c r="H35" s="164"/>
      <x:c r="I35" s="164"/>
      <x:c r="J35" s="215" t="str">
        <x:f>IF(A35="","",H35+I35)</x:f>
      </x:c>
      <x:c r="K35" s="218" t="str">
        <x:f>IF(OR(A35="",G35=0),"",J35/G35)</x:f>
      </x:c>
      <x:c r="L35" s="164"/>
      <x:c r="M35" s="215" t="str">
        <x:f>IF(A35="","",MAX(J35-L35,0))</x:f>
      </x:c>
      <x:c r="N35" s="221"/>
      <x:c r="O35" s="221"/>
      <x:c r="P35" s="215" t="str">
        <x:f>IF(A35="","",ROUND(M35*N35*O35,0))</x:f>
      </x:c>
      <x:c r="Q35" s="140"/>
      <x:c r="R35" s="140"/>
      <x:c r="S35" s="155"/>
      <x:c r="T35" s="155"/>
      <x:c r="U35" s="140"/>
      <x:c r="V35" s="140"/>
    </x:row>
    <x:row r="36">
      <x:c r="A36" s="140"/>
      <x:c r="B36" s="140"/>
      <x:c r="C36" s="140"/>
      <x:c r="D36" s="140"/>
      <x:c r="E36" s="140"/>
      <x:c r="F36" s="140"/>
      <x:c r="G36" s="164"/>
      <x:c r="H36" s="164"/>
      <x:c r="I36" s="164"/>
      <x:c r="J36" s="215" t="str">
        <x:f>IF(A36="","",H36+I36)</x:f>
      </x:c>
      <x:c r="K36" s="218" t="str">
        <x:f>IF(OR(A36="",G36=0),"",J36/G36)</x:f>
      </x:c>
      <x:c r="L36" s="164"/>
      <x:c r="M36" s="215" t="str">
        <x:f>IF(A36="","",MAX(J36-L36,0))</x:f>
      </x:c>
      <x:c r="N36" s="221"/>
      <x:c r="O36" s="221"/>
      <x:c r="P36" s="215" t="str">
        <x:f>IF(A36="","",ROUND(M36*N36*O36,0))</x:f>
      </x:c>
      <x:c r="Q36" s="140"/>
      <x:c r="R36" s="140"/>
      <x:c r="S36" s="155"/>
      <x:c r="T36" s="155"/>
      <x:c r="U36" s="140"/>
      <x:c r="V36" s="140"/>
    </x:row>
    <x:row r="37">
      <x:c r="A37" s="140"/>
      <x:c r="B37" s="140"/>
      <x:c r="C37" s="140"/>
      <x:c r="D37" s="140"/>
      <x:c r="E37" s="140"/>
      <x:c r="F37" s="140"/>
      <x:c r="G37" s="164"/>
      <x:c r="H37" s="164"/>
      <x:c r="I37" s="164"/>
      <x:c r="J37" s="215" t="str">
        <x:f>IF(A37="","",H37+I37)</x:f>
      </x:c>
      <x:c r="K37" s="218" t="str">
        <x:f>IF(OR(A37="",G37=0),"",J37/G37)</x:f>
      </x:c>
      <x:c r="L37" s="164"/>
      <x:c r="M37" s="215" t="str">
        <x:f>IF(A37="","",MAX(J37-L37,0))</x:f>
      </x:c>
      <x:c r="N37" s="221"/>
      <x:c r="O37" s="221"/>
      <x:c r="P37" s="215" t="str">
        <x:f>IF(A37="","",ROUND(M37*N37*O37,0))</x:f>
      </x:c>
      <x:c r="Q37" s="140"/>
      <x:c r="R37" s="140"/>
      <x:c r="S37" s="155"/>
      <x:c r="T37" s="155"/>
      <x:c r="U37" s="140"/>
      <x:c r="V37" s="140"/>
    </x:row>
    <x:row r="38">
      <x:c r="A38" s="140"/>
      <x:c r="B38" s="140"/>
      <x:c r="C38" s="140"/>
      <x:c r="D38" s="140"/>
      <x:c r="E38" s="140"/>
      <x:c r="F38" s="140"/>
      <x:c r="G38" s="164"/>
      <x:c r="H38" s="164"/>
      <x:c r="I38" s="164"/>
      <x:c r="J38" s="215" t="str">
        <x:f>IF(A38="","",H38+I38)</x:f>
      </x:c>
      <x:c r="K38" s="218" t="str">
        <x:f>IF(OR(A38="",G38=0),"",J38/G38)</x:f>
      </x:c>
      <x:c r="L38" s="164"/>
      <x:c r="M38" s="215" t="str">
        <x:f>IF(A38="","",MAX(J38-L38,0))</x:f>
      </x:c>
      <x:c r="N38" s="221"/>
      <x:c r="O38" s="221"/>
      <x:c r="P38" s="215" t="str">
        <x:f>IF(A38="","",ROUND(M38*N38*O38,0))</x:f>
      </x:c>
      <x:c r="Q38" s="140"/>
      <x:c r="R38" s="140"/>
      <x:c r="S38" s="155"/>
      <x:c r="T38" s="155"/>
      <x:c r="U38" s="140"/>
      <x:c r="V38" s="140"/>
    </x:row>
    <x:row r="39">
      <x:c r="A39" s="140"/>
      <x:c r="B39" s="140"/>
      <x:c r="C39" s="140"/>
      <x:c r="D39" s="140"/>
      <x:c r="E39" s="140"/>
      <x:c r="F39" s="140"/>
      <x:c r="G39" s="164"/>
      <x:c r="H39" s="164"/>
      <x:c r="I39" s="164"/>
      <x:c r="J39" s="215" t="str">
        <x:f>IF(A39="","",H39+I39)</x:f>
      </x:c>
      <x:c r="K39" s="218" t="str">
        <x:f>IF(OR(A39="",G39=0),"",J39/G39)</x:f>
      </x:c>
      <x:c r="L39" s="164"/>
      <x:c r="M39" s="215" t="str">
        <x:f>IF(A39="","",MAX(J39-L39,0))</x:f>
      </x:c>
      <x:c r="N39" s="221"/>
      <x:c r="O39" s="221"/>
      <x:c r="P39" s="215" t="str">
        <x:f>IF(A39="","",ROUND(M39*N39*O39,0))</x:f>
      </x:c>
      <x:c r="Q39" s="140"/>
      <x:c r="R39" s="140"/>
      <x:c r="S39" s="155"/>
      <x:c r="T39" s="155"/>
      <x:c r="U39" s="140"/>
      <x:c r="V39" s="140"/>
    </x:row>
    <x:row r="40">
      <x:c r="A40" s="140"/>
      <x:c r="B40" s="140"/>
      <x:c r="C40" s="140"/>
      <x:c r="D40" s="140"/>
      <x:c r="E40" s="140"/>
      <x:c r="F40" s="140"/>
      <x:c r="G40" s="164"/>
      <x:c r="H40" s="164"/>
      <x:c r="I40" s="164"/>
      <x:c r="J40" s="215" t="str">
        <x:f>IF(A40="","",H40+I40)</x:f>
      </x:c>
      <x:c r="K40" s="218" t="str">
        <x:f>IF(OR(A40="",G40=0),"",J40/G40)</x:f>
      </x:c>
      <x:c r="L40" s="164"/>
      <x:c r="M40" s="215" t="str">
        <x:f>IF(A40="","",MAX(J40-L40,0))</x:f>
      </x:c>
      <x:c r="N40" s="221"/>
      <x:c r="O40" s="221"/>
      <x:c r="P40" s="215" t="str">
        <x:f>IF(A40="","",ROUND(M40*N40*O40,0))</x:f>
      </x:c>
      <x:c r="Q40" s="140"/>
      <x:c r="R40" s="140"/>
      <x:c r="S40" s="155"/>
      <x:c r="T40" s="155"/>
      <x:c r="U40" s="140"/>
      <x:c r="V40" s="140"/>
    </x:row>
    <x:row r="41">
      <x:c r="A41" s="140"/>
      <x:c r="B41" s="140"/>
      <x:c r="C41" s="140"/>
      <x:c r="D41" s="140"/>
      <x:c r="E41" s="140"/>
      <x:c r="F41" s="140"/>
      <x:c r="G41" s="164"/>
      <x:c r="H41" s="164"/>
      <x:c r="I41" s="164"/>
      <x:c r="J41" s="215" t="str">
        <x:f>IF(A41="","",H41+I41)</x:f>
      </x:c>
      <x:c r="K41" s="218" t="str">
        <x:f>IF(OR(A41="",G41=0),"",J41/G41)</x:f>
      </x:c>
      <x:c r="L41" s="164"/>
      <x:c r="M41" s="215" t="str">
        <x:f>IF(A41="","",MAX(J41-L41,0))</x:f>
      </x:c>
      <x:c r="N41" s="221"/>
      <x:c r="O41" s="221"/>
      <x:c r="P41" s="215" t="str">
        <x:f>IF(A41="","",ROUND(M41*N41*O41,0))</x:f>
      </x:c>
      <x:c r="Q41" s="140"/>
      <x:c r="R41" s="140"/>
      <x:c r="S41" s="155"/>
      <x:c r="T41" s="155"/>
      <x:c r="U41" s="140"/>
      <x:c r="V41" s="140"/>
    </x:row>
    <x:row r="42">
      <x:c r="A42" s="140"/>
      <x:c r="B42" s="140"/>
      <x:c r="C42" s="140"/>
      <x:c r="D42" s="140"/>
      <x:c r="E42" s="140"/>
      <x:c r="F42" s="140"/>
      <x:c r="G42" s="164"/>
      <x:c r="H42" s="164"/>
      <x:c r="I42" s="164"/>
      <x:c r="J42" s="215" t="str">
        <x:f>IF(A42="","",H42+I42)</x:f>
      </x:c>
      <x:c r="K42" s="218" t="str">
        <x:f>IF(OR(A42="",G42=0),"",J42/G42)</x:f>
      </x:c>
      <x:c r="L42" s="164"/>
      <x:c r="M42" s="215" t="str">
        <x:f>IF(A42="","",MAX(J42-L42,0))</x:f>
      </x:c>
      <x:c r="N42" s="221"/>
      <x:c r="O42" s="221"/>
      <x:c r="P42" s="215" t="str">
        <x:f>IF(A42="","",ROUND(M42*N42*O42,0))</x:f>
      </x:c>
      <x:c r="Q42" s="140"/>
      <x:c r="R42" s="140"/>
      <x:c r="S42" s="155"/>
      <x:c r="T42" s="155"/>
      <x:c r="U42" s="140"/>
      <x:c r="V42" s="140"/>
    </x:row>
    <x:row r="43">
      <x:c r="A43" s="140"/>
      <x:c r="B43" s="140"/>
      <x:c r="C43" s="140"/>
      <x:c r="D43" s="140"/>
      <x:c r="E43" s="140"/>
      <x:c r="F43" s="140"/>
      <x:c r="G43" s="164"/>
      <x:c r="H43" s="164"/>
      <x:c r="I43" s="164"/>
      <x:c r="J43" s="215" t="str">
        <x:f>IF(A43="","",H43+I43)</x:f>
      </x:c>
      <x:c r="K43" s="218" t="str">
        <x:f>IF(OR(A43="",G43=0),"",J43/G43)</x:f>
      </x:c>
      <x:c r="L43" s="164"/>
      <x:c r="M43" s="215" t="str">
        <x:f>IF(A43="","",MAX(J43-L43,0))</x:f>
      </x:c>
      <x:c r="N43" s="221"/>
      <x:c r="O43" s="221"/>
      <x:c r="P43" s="215" t="str">
        <x:f>IF(A43="","",ROUND(M43*N43*O43,0))</x:f>
      </x:c>
      <x:c r="Q43" s="140"/>
      <x:c r="R43" s="140"/>
      <x:c r="S43" s="155"/>
      <x:c r="T43" s="155"/>
      <x:c r="U43" s="140"/>
      <x:c r="V43" s="140"/>
    </x:row>
    <x:row r="44">
      <x:c r="A44" s="140"/>
      <x:c r="B44" s="140"/>
      <x:c r="C44" s="140"/>
      <x:c r="D44" s="140"/>
      <x:c r="E44" s="140"/>
      <x:c r="F44" s="140"/>
      <x:c r="G44" s="164"/>
      <x:c r="H44" s="164"/>
      <x:c r="I44" s="164"/>
      <x:c r="J44" s="215" t="str">
        <x:f>IF(A44="","",H44+I44)</x:f>
      </x:c>
      <x:c r="K44" s="218" t="str">
        <x:f>IF(OR(A44="",G44=0),"",J44/G44)</x:f>
      </x:c>
      <x:c r="L44" s="164"/>
      <x:c r="M44" s="215" t="str">
        <x:f>IF(A44="","",MAX(J44-L44,0))</x:f>
      </x:c>
      <x:c r="N44" s="221"/>
      <x:c r="O44" s="221"/>
      <x:c r="P44" s="215" t="str">
        <x:f>IF(A44="","",ROUND(M44*N44*O44,0))</x:f>
      </x:c>
      <x:c r="Q44" s="140"/>
      <x:c r="R44" s="140"/>
      <x:c r="S44" s="155"/>
      <x:c r="T44" s="155"/>
      <x:c r="U44" s="140"/>
      <x:c r="V44" s="140"/>
    </x:row>
    <x:row r="45">
      <x:c r="A45" s="140"/>
      <x:c r="B45" s="140"/>
      <x:c r="C45" s="140"/>
      <x:c r="D45" s="140"/>
      <x:c r="E45" s="140"/>
      <x:c r="F45" s="140"/>
      <x:c r="G45" s="164"/>
      <x:c r="H45" s="164"/>
      <x:c r="I45" s="164"/>
      <x:c r="J45" s="215" t="str">
        <x:f>IF(A45="","",H45+I45)</x:f>
      </x:c>
      <x:c r="K45" s="218" t="str">
        <x:f>IF(OR(A45="",G45=0),"",J45/G45)</x:f>
      </x:c>
      <x:c r="L45" s="164"/>
      <x:c r="M45" s="215" t="str">
        <x:f>IF(A45="","",MAX(J45-L45,0))</x:f>
      </x:c>
      <x:c r="N45" s="221"/>
      <x:c r="O45" s="221"/>
      <x:c r="P45" s="215" t="str">
        <x:f>IF(A45="","",ROUND(M45*N45*O45,0))</x:f>
      </x:c>
      <x:c r="Q45" s="140"/>
      <x:c r="R45" s="140"/>
      <x:c r="S45" s="155"/>
      <x:c r="T45" s="155"/>
      <x:c r="U45" s="140"/>
      <x:c r="V45" s="140"/>
    </x:row>
    <x:row r="46">
      <x:c r="A46" s="140"/>
      <x:c r="B46" s="140"/>
      <x:c r="C46" s="140"/>
      <x:c r="D46" s="140"/>
      <x:c r="E46" s="140"/>
      <x:c r="F46" s="140"/>
      <x:c r="G46" s="164"/>
      <x:c r="H46" s="164"/>
      <x:c r="I46" s="164"/>
      <x:c r="J46" s="215" t="str">
        <x:f>IF(A46="","",H46+I46)</x:f>
      </x:c>
      <x:c r="K46" s="218" t="str">
        <x:f>IF(OR(A46="",G46=0),"",J46/G46)</x:f>
      </x:c>
      <x:c r="L46" s="164"/>
      <x:c r="M46" s="215" t="str">
        <x:f>IF(A46="","",MAX(J46-L46,0))</x:f>
      </x:c>
      <x:c r="N46" s="221"/>
      <x:c r="O46" s="221"/>
      <x:c r="P46" s="215" t="str">
        <x:f>IF(A46="","",ROUND(M46*N46*O46,0))</x:f>
      </x:c>
      <x:c r="Q46" s="140"/>
      <x:c r="R46" s="140"/>
      <x:c r="S46" s="155"/>
      <x:c r="T46" s="155"/>
      <x:c r="U46" s="140"/>
      <x:c r="V46" s="140"/>
    </x:row>
    <x:row r="47">
      <x:c r="A47" s="141"/>
      <x:c r="B47" s="141"/>
      <x:c r="C47" s="141"/>
      <x:c r="D47" s="141"/>
      <x:c r="E47" s="141"/>
      <x:c r="F47" s="141"/>
      <x:c r="G47" s="165"/>
      <x:c r="H47" s="165"/>
      <x:c r="I47" s="165"/>
      <x:c r="J47" s="216" t="str">
        <x:f>IF(A47="","",H47+I47)</x:f>
      </x:c>
      <x:c r="K47" s="219" t="str">
        <x:f>IF(OR(A47="",G47=0),"",J47/G47)</x:f>
      </x:c>
      <x:c r="L47" s="165"/>
      <x:c r="M47" s="216" t="str">
        <x:f>IF(A47="","",MAX(J47-L47,0))</x:f>
      </x:c>
      <x:c r="N47" s="222"/>
      <x:c r="O47" s="222"/>
      <x:c r="P47" s="216" t="str">
        <x:f>IF(A47="","",ROUND(M47*N47*O47,0))</x:f>
      </x:c>
      <x:c r="Q47" s="141"/>
      <x:c r="R47" s="141"/>
      <x:c r="S47" s="156"/>
      <x:c r="T47" s="156"/>
      <x:c r="U47" s="141"/>
      <x:c r="V47" s="141"/>
    </x:row>
  </x:sheetData>
  <x:mergeCells>
    <x:mergeCell ref="A1:V1"/>
    <x:mergeCell ref="A2:V2"/>
    <x:mergeCell ref="A4:D4"/>
    <x:mergeCell ref="A5:D5"/>
    <x:mergeCell ref="F4:I4"/>
    <x:mergeCell ref="F5:I5"/>
    <x:mergeCell ref="K4:N4"/>
    <x:mergeCell ref="K5:N5"/>
    <x:mergeCell ref="P4:S4"/>
    <x:mergeCell ref="P5:S5"/>
  </x:mergeCells>
  <x:conditionalFormatting sqref="K8:K47">
    <x:cfRule type="dataBar" priority="1">
      <x:dataBar>
        <x:cfvo type="min"/>
        <x:cfvo type="max"/>
        <x:color rgb="FF5CA8FF"/>
      </x:dataBar>
      <x:extLst>
        <x:ext xmlns:x14="http://schemas.microsoft.com/office/spreadsheetml/2009/9/main" uri="{B025F937-C7B1-47D3-B67F-A62EFF666E3E}">
          <x14:id>{2E116C9C-04A5-A1D1-554A-80484607050E}</x14:id>
        </x:ext>
      </x:extLst>
    </x:cfRule>
  </x:conditionalFormatting>
  <x:conditionalFormatting sqref="U8:U47">
    <x:cfRule type="containsText" dxfId="17" priority="2" operator="containsText" text="Red"/>
    <x:cfRule type="containsText" dxfId="18" priority="3" operator="containsText" text="Amber"/>
    <x:cfRule type="containsText" dxfId="19" priority="4" operator="containsText" text="Green"/>
  </x:conditionalFormatting>
  <x:dataValidations count="2">
    <x:dataValidation type="list" sqref="Q8:Q47">
      <x:formula1>"Yes,No"</x:formula1>
    </x:dataValidation>
    <x:dataValidation type="list" sqref="U8:U47">
      <x:formula1>"Green,Amber,Red"</x:formula1>
    </x:dataValidation>
  </x:dataValidations>
  <x:pageMargins left="0.7" right="0.7" top="0.75" bottom="0.75" header="0.3" footer="0.3"/>
  <x:drawing xmlns:r="http://schemas.openxmlformats.org/officeDocument/2006/relationships" r:id="R19a89fc3ba414eb9"/>
  <x:tableParts count="1">
    <x:tablePart xmlns:r="http://schemas.openxmlformats.org/officeDocument/2006/relationships" r:id="R07df4a0f4c344435"/>
  </x:tableParts>
  <x:extLst>
    <x:ext xmlns:x14="http://schemas.microsoft.com/office/spreadsheetml/2009/9/main" xmlns:xm="http://schemas.microsoft.com/office/excel/2006/main" uri="{78C0D931-6437-407d-A8EE-F0AAD7539E65}">
      <x14:conditionalFormattings>
        <x14:conditionalFormatting>
          <x14:cfRule type="dataBar" priority="1" id="{2E116C9C-04A5-A1D1-554A-80484607050E}">
            <x14:dataBar gradient="1">
              <x14:cfvo type="min"/>
              <x14:cfvo type="max"/>
              <x14:fillColor rgb="FF5CA8FF"/>
            </x14:dataBar>
          </x14:cfRule>
          <xm:sqref>K8:K47</xm:sqref>
        </x14:conditionalFormatting>
      </x14:conditionalFormattings>
    </x:ext>
  </x:extLst>
</x:worksheet>
</file>

<file path=xl/worksheets/sheet7.xml><?xml version="1.0" encoding="utf-8"?>
<x:worksheet xmlns:x="http://schemas.openxmlformats.org/spreadsheetml/2006/main">
  <x:sheetViews>
    <x:sheetView showGridLines="0" workbookViewId="0"/>
  </x:sheetViews>
  <x:sheetFormatPr defaultRowHeight="15"/>
  <x:cols>
    <x:col min="1" max="1" width="13" hidden="0" customWidth="1"/>
    <x:col min="2" max="2" width="10" hidden="0" customWidth="1"/>
    <x:col min="3" max="3" width="22" hidden="0" customWidth="1"/>
    <x:col min="4" max="4" width="16" hidden="0" customWidth="1"/>
    <x:col min="5" max="5" width="16" hidden="0" customWidth="1"/>
    <x:col min="6" max="6" width="17" hidden="0" customWidth="1"/>
    <x:col min="7" max="7" width="20" hidden="0" customWidth="1"/>
    <x:col min="8" max="8" width="20" hidden="0" customWidth="1"/>
    <x:col min="9" max="9" width="17" hidden="0" customWidth="1"/>
    <x:col min="10" max="10" width="16" hidden="0" customWidth="1"/>
    <x:col min="11" max="11" width="17" hidden="0" customWidth="1"/>
    <x:col min="12" max="12" width="20" hidden="0" customWidth="1"/>
    <x:col min="13" max="13" width="17" hidden="0" customWidth="1"/>
    <x:col min="14" max="14" width="12" hidden="0" customWidth="1"/>
    <x:col min="15" max="15" width="12" hidden="0" customWidth="1"/>
    <x:col min="16" max="16" width="12" hidden="0" customWidth="1"/>
    <x:col min="17" max="17" width="11" hidden="0" customWidth="1"/>
    <x:col min="18" max="18" width="36" hidden="0" customWidth="1"/>
  </x:cols>
  <x:sheetData>
    <x:row r="1" ht="34" customHeight="1">
      <x:c r="A1" s="3" t="str">
        <x:v>Liquidity Risk Monitoring</x:v>
      </x:c>
      <x:c r="B1" s="3"/>
      <x:c r="C1" s="3"/>
      <x:c r="D1" s="3"/>
      <x:c r="E1" s="3"/>
      <x:c r="F1" s="3"/>
      <x:c r="G1" s="3"/>
      <x:c r="H1" s="3"/>
      <x:c r="I1" s="3"/>
      <x:c r="J1" s="3"/>
      <x:c r="K1" s="3"/>
      <x:c r="L1" s="3"/>
      <x:c r="M1" s="3"/>
      <x:c r="N1" s="3"/>
      <x:c r="O1" s="3"/>
      <x:c r="P1" s="3"/>
      <x:c r="Q1" s="3"/>
      <x:c r="R1" s="3"/>
    </x:row>
    <x:row r="2" ht="30" customHeight="1">
      <x:c r="A2" s="7" t="str">
        <x:v>Illustrative daily view of liquidity resources, stressed outflows, buffers, LCR proxy, limit headroom and escalation.</x:v>
      </x:c>
      <x:c r="B2" s="7"/>
      <x:c r="C2" s="7"/>
      <x:c r="D2" s="7"/>
      <x:c r="E2" s="7"/>
      <x:c r="F2" s="7"/>
      <x:c r="G2" s="7"/>
      <x:c r="H2" s="7"/>
      <x:c r="I2" s="7"/>
      <x:c r="J2" s="7"/>
      <x:c r="K2" s="7"/>
      <x:c r="L2" s="7"/>
      <x:c r="M2" s="7"/>
      <x:c r="N2" s="7"/>
      <x:c r="O2" s="7"/>
      <x:c r="P2" s="7"/>
      <x:c r="Q2" s="7"/>
      <x:c r="R2" s="7"/>
    </x:row>
    <x:row r="5" ht="32" customHeight="1">
      <x:c r="A5" s="126" t="str">
        <x:v>Date</x:v>
      </x:c>
      <x:c r="B5" s="127" t="str">
        <x:v>Currency</x:v>
      </x:c>
      <x:c r="C5" s="127" t="str">
        <x:v>Entity</x:v>
      </x:c>
      <x:c r="D5" s="127" t="str">
        <x:v>Cash (£)</x:v>
      </x:c>
      <x:c r="E5" s="127" t="str">
        <x:v>HQLA (£)</x:v>
      </x:c>
      <x:c r="F5" s="127" t="str">
        <x:v>Available RCF (£)</x:v>
      </x:c>
      <x:c r="G5" s="127" t="str">
        <x:v>Expected inflows 30d (£)</x:v>
      </x:c>
      <x:c r="H5" s="127" t="str">
        <x:v>Expected outflows 30d (£)</x:v>
      </x:c>
      <x:c r="I5" s="127" t="str">
        <x:v>Net outflow (£)</x:v>
      </x:c>
      <x:c r="J5" s="127" t="str">
        <x:v>Survival horizon (days)</x:v>
      </x:c>
      <x:c r="K5" s="127" t="str">
        <x:v>Minimum buffer (£)</x:v>
      </x:c>
      <x:c r="L5" s="127" t="str">
        <x:v>Total available liquidity (£)</x:v>
      </x:c>
      <x:c r="M5" s="127" t="str">
        <x:v>Buffer surplus (£)</x:v>
      </x:c>
      <x:c r="N5" s="127" t="str">
        <x:v>LCR proxy</x:v>
      </x:c>
      <x:c r="O5" s="127" t="str">
        <x:v>LCR limit</x:v>
      </x:c>
      <x:c r="P5" s="127" t="str">
        <x:v>Headroom</x:v>
      </x:c>
      <x:c r="Q5" s="127" t="str">
        <x:v>Status</x:v>
      </x:c>
      <x:c r="R5" s="128" t="str">
        <x:v>Commentary</x:v>
      </x:c>
      <x:c r="T5" s="255" t="str">
        <x:v>Date</x:v>
      </x:c>
      <x:c r="U5" s="255" t="str">
        <x:v>Buffer surplus (£)</x:v>
      </x:c>
    </x:row>
    <x:row r="6">
      <x:c r="A6" s="154" t="n">
        <x:v>46255</x:v>
      </x:c>
      <x:c r="B6" s="139" t="str">
        <x:v>GBP</x:v>
      </x:c>
      <x:c r="C6" s="139" t="str">
        <x:v>UK Investment Firm</x:v>
      </x:c>
      <x:c r="D6" s="163" t="n">
        <x:v>18500000</x:v>
      </x:c>
      <x:c r="E6" s="163" t="n">
        <x:v>32000000</x:v>
      </x:c>
      <x:c r="F6" s="163" t="n">
        <x:v>10000000</x:v>
      </x:c>
      <x:c r="G6" s="163" t="n">
        <x:v>8500000</x:v>
      </x:c>
      <x:c r="H6" s="163" t="n">
        <x:v>36000000</x:v>
      </x:c>
      <x:c r="I6" s="214" t="n">
        <x:f>IF(A6="","",MAX(H6-G6,0))</x:f>
        <x:v>27500000</x:v>
      </x:c>
      <x:c r="J6" s="139" t="n">
        <x:v>62</x:v>
      </x:c>
      <x:c r="K6" s="163" t="n">
        <x:v>18000000</x:v>
      </x:c>
      <x:c r="L6" s="214" t="n">
        <x:f>IF(A6="","",D6+E6+F6)</x:f>
        <x:v>60500000</x:v>
      </x:c>
      <x:c r="M6" s="214" t="n">
        <x:f>IF(A6="","",L6-K6)</x:f>
        <x:v>42500000</x:v>
      </x:c>
      <x:c r="N6" s="217" t="n">
        <x:f>IF(OR(A6="",I6=0),"",(D6+E6)/I6)</x:f>
        <x:v>1.8363636363636364</x:v>
      </x:c>
      <x:c r="O6" s="223" t="n">
        <x:v>1.2</x:v>
      </x:c>
      <x:c r="P6" s="217" t="n">
        <x:f>IF(A6="","",N6-O6)</x:f>
        <x:v>0.6363636363636365</x:v>
      </x:c>
      <x:c r="Q6" s="145" t="str">
        <x:f>IF(A6="","",IF(OR(M6&lt;0,N6&lt;O6,J6&lt;30),"Red",IF(OR(P6&lt;0.15,J6&lt;45),"Amber","Green")))</x:f>
        <x:v>Green</x:v>
      </x:c>
      <x:c r="R6" s="139" t="str">
        <x:v>Comfortable resources and headroom.</x:v>
      </x:c>
      <x:c r="T6" s="256" t="str">
        <x:f>TEXT(A6,"dd-mmm")</x:f>
        <x:v>21-Aug</x:v>
      </x:c>
      <x:c r="U6" s="257" t="n">
        <x:f>M6</x:f>
        <x:v>42500000</x:v>
      </x:c>
    </x:row>
    <x:row r="7">
      <x:c r="A7" s="155" t="n">
        <x:v>46256</x:v>
      </x:c>
      <x:c r="B7" s="140" t="str">
        <x:v>GBP</x:v>
      </x:c>
      <x:c r="C7" s="140" t="str">
        <x:v>UK Investment Firm</x:v>
      </x:c>
      <x:c r="D7" s="164" t="n">
        <x:v>17200000</x:v>
      </x:c>
      <x:c r="E7" s="164" t="n">
        <x:v>31500000</x:v>
      </x:c>
      <x:c r="F7" s="164" t="n">
        <x:v>10000000</x:v>
      </x:c>
      <x:c r="G7" s="164" t="n">
        <x:v>8200000</x:v>
      </x:c>
      <x:c r="H7" s="164" t="n">
        <x:v>36500000</x:v>
      </x:c>
      <x:c r="I7" s="215" t="n">
        <x:f>IF(A7="","",MAX(H7-G7,0))</x:f>
        <x:v>28300000</x:v>
      </x:c>
      <x:c r="J7" s="140" t="n">
        <x:v>59</x:v>
      </x:c>
      <x:c r="K7" s="164" t="n">
        <x:v>18000000</x:v>
      </x:c>
      <x:c r="L7" s="215" t="n">
        <x:f>IF(A7="","",D7+E7+F7)</x:f>
        <x:v>58700000</x:v>
      </x:c>
      <x:c r="M7" s="215" t="n">
        <x:f>IF(A7="","",L7-K7)</x:f>
        <x:v>40700000</x:v>
      </x:c>
      <x:c r="N7" s="218" t="n">
        <x:f>IF(OR(A7="",I7=0),"",(D7+E7)/I7)</x:f>
        <x:v>1.7208480565371025</x:v>
      </x:c>
      <x:c r="O7" s="205" t="n">
        <x:v>1.2</x:v>
      </x:c>
      <x:c r="P7" s="218" t="n">
        <x:f>IF(A7="","",N7-O7)</x:f>
        <x:v>0.5208480565371025</x:v>
      </x:c>
      <x:c r="Q7" s="146" t="str">
        <x:f>IF(A7="","",IF(OR(M7&lt;0,N7&lt;O7,J7&lt;30),"Red",IF(OR(P7&lt;0.15,J7&lt;45),"Amber","Green")))</x:f>
        <x:v>Green</x:v>
      </x:c>
      <x:c r="R7" s="140" t="str">
        <x:v>Outflows increased; monitor settlement profile.</x:v>
      </x:c>
      <x:c r="T7" s="256" t="str">
        <x:f>TEXT(A7,"dd-mmm")</x:f>
        <x:v>22-Aug</x:v>
      </x:c>
      <x:c r="U7" s="257" t="n">
        <x:f>M7</x:f>
        <x:v>40700000</x:v>
      </x:c>
    </x:row>
    <x:row r="8">
      <x:c r="A8" s="155" t="n">
        <x:v>46259</x:v>
      </x:c>
      <x:c r="B8" s="140" t="str">
        <x:v>GBP</x:v>
      </x:c>
      <x:c r="C8" s="140" t="str">
        <x:v>UK Investment Firm</x:v>
      </x:c>
      <x:c r="D8" s="164" t="n">
        <x:v>16900000</x:v>
      </x:c>
      <x:c r="E8" s="164" t="n">
        <x:v>30800000</x:v>
      </x:c>
      <x:c r="F8" s="164" t="n">
        <x:v>10000000</x:v>
      </x:c>
      <x:c r="G8" s="164" t="n">
        <x:v>8000000</x:v>
      </x:c>
      <x:c r="H8" s="164" t="n">
        <x:v>37200000</x:v>
      </x:c>
      <x:c r="I8" s="215" t="n">
        <x:f>IF(A8="","",MAX(H8-G8,0))</x:f>
        <x:v>29200000</x:v>
      </x:c>
      <x:c r="J8" s="140" t="n">
        <x:v>55</x:v>
      </x:c>
      <x:c r="K8" s="164" t="n">
        <x:v>18000000</x:v>
      </x:c>
      <x:c r="L8" s="215" t="n">
        <x:f>IF(A8="","",D8+E8+F8)</x:f>
        <x:v>57700000</x:v>
      </x:c>
      <x:c r="M8" s="215" t="n">
        <x:f>IF(A8="","",L8-K8)</x:f>
        <x:v>39700000</x:v>
      </x:c>
      <x:c r="N8" s="218" t="n">
        <x:f>IF(OR(A8="",I8=0),"",(D8+E8)/I8)</x:f>
        <x:v>1.6335616438356164</x:v>
      </x:c>
      <x:c r="O8" s="205" t="n">
        <x:v>1.2</x:v>
      </x:c>
      <x:c r="P8" s="218" t="n">
        <x:f>IF(A8="","",N8-O8)</x:f>
        <x:v>0.43356164383561646</x:v>
      </x:c>
      <x:c r="Q8" s="146" t="str">
        <x:f>IF(A8="","",IF(OR(M8&lt;0,N8&lt;O8,J8&lt;30),"Red",IF(OR(P8&lt;0.15,J8&lt;45),"Amber","Green")))</x:f>
        <x:v>Green</x:v>
      </x:c>
      <x:c r="R8" s="140" t="str">
        <x:v>Stress drawdown reduced headroom.</x:v>
      </x:c>
      <x:c r="T8" s="256" t="str">
        <x:f>TEXT(A8,"dd-mmm")</x:f>
        <x:v>25-Aug</x:v>
      </x:c>
      <x:c r="U8" s="257" t="n">
        <x:f>M8</x:f>
        <x:v>39700000</x:v>
      </x:c>
    </x:row>
    <x:row r="9">
      <x:c r="A9" s="155" t="n">
        <x:v>46260</x:v>
      </x:c>
      <x:c r="B9" s="140" t="str">
        <x:v>GBP</x:v>
      </x:c>
      <x:c r="C9" s="140" t="str">
        <x:v>UK Investment Firm</x:v>
      </x:c>
      <x:c r="D9" s="164" t="n">
        <x:v>15800000</x:v>
      </x:c>
      <x:c r="E9" s="164" t="n">
        <x:v>30200000</x:v>
      </x:c>
      <x:c r="F9" s="164" t="n">
        <x:v>10000000</x:v>
      </x:c>
      <x:c r="G9" s="164" t="n">
        <x:v>7900000</x:v>
      </x:c>
      <x:c r="H9" s="164" t="n">
        <x:v>37800000</x:v>
      </x:c>
      <x:c r="I9" s="215" t="n">
        <x:f>IF(A9="","",MAX(H9-G9,0))</x:f>
        <x:v>29900000</x:v>
      </x:c>
      <x:c r="J9" s="140" t="n">
        <x:v>48</x:v>
      </x:c>
      <x:c r="K9" s="164" t="n">
        <x:v>18000000</x:v>
      </x:c>
      <x:c r="L9" s="215" t="n">
        <x:f>IF(A9="","",D9+E9+F9)</x:f>
        <x:v>56000000</x:v>
      </x:c>
      <x:c r="M9" s="215" t="n">
        <x:f>IF(A9="","",L9-K9)</x:f>
        <x:v>38000000</x:v>
      </x:c>
      <x:c r="N9" s="218" t="n">
        <x:f>IF(OR(A9="",I9=0),"",(D9+E9)/I9)</x:f>
        <x:v>1.5384615384615385</x:v>
      </x:c>
      <x:c r="O9" s="205" t="n">
        <x:v>1.2</x:v>
      </x:c>
      <x:c r="P9" s="218" t="n">
        <x:f>IF(A9="","",N9-O9)</x:f>
        <x:v>0.3384615384615386</x:v>
      </x:c>
      <x:c r="Q9" s="146" t="str">
        <x:f>IF(A9="","",IF(OR(M9&lt;0,N9&lt;O9,J9&lt;30),"Red",IF(OR(P9&lt;0.15,J9&lt;45),"Amber","Green")))</x:f>
        <x:v>Green</x:v>
      </x:c>
      <x:c r="R9" s="140" t="str">
        <x:v>Amber trigger reached; treasury actions initiated.</x:v>
      </x:c>
      <x:c r="T9" s="256" t="str">
        <x:f>TEXT(A9,"dd-mmm")</x:f>
        <x:v>26-Aug</x:v>
      </x:c>
      <x:c r="U9" s="257" t="n">
        <x:f>M9</x:f>
        <x:v>38000000</x:v>
      </x:c>
    </x:row>
    <x:row r="10">
      <x:c r="A10" s="155" t="n">
        <x:v>46261</x:v>
      </x:c>
      <x:c r="B10" s="140" t="str">
        <x:v>GBP</x:v>
      </x:c>
      <x:c r="C10" s="140" t="str">
        <x:v>UK Investment Firm</x:v>
      </x:c>
      <x:c r="D10" s="164" t="n">
        <x:v>16200000</x:v>
      </x:c>
      <x:c r="E10" s="164" t="n">
        <x:v>30000000</x:v>
      </x:c>
      <x:c r="F10" s="164" t="n">
        <x:v>10000000</x:v>
      </x:c>
      <x:c r="G10" s="164" t="n">
        <x:v>8100000</x:v>
      </x:c>
      <x:c r="H10" s="164" t="n">
        <x:v>38100000</x:v>
      </x:c>
      <x:c r="I10" s="215" t="n">
        <x:f>IF(A10="","",MAX(H10-G10,0))</x:f>
        <x:v>30000000</x:v>
      </x:c>
      <x:c r="J10" s="140" t="n">
        <x:v>50</x:v>
      </x:c>
      <x:c r="K10" s="164" t="n">
        <x:v>18000000</x:v>
      </x:c>
      <x:c r="L10" s="215" t="n">
        <x:f>IF(A10="","",D10+E10+F10)</x:f>
        <x:v>56200000</x:v>
      </x:c>
      <x:c r="M10" s="215" t="n">
        <x:f>IF(A10="","",L10-K10)</x:f>
        <x:v>38200000</x:v>
      </x:c>
      <x:c r="N10" s="218" t="n">
        <x:f>IF(OR(A10="",I10=0),"",(D10+E10)/I10)</x:f>
        <x:v>1.54</x:v>
      </x:c>
      <x:c r="O10" s="205" t="n">
        <x:v>1.2</x:v>
      </x:c>
      <x:c r="P10" s="218" t="n">
        <x:f>IF(A10="","",N10-O10)</x:f>
        <x:v>0.3400000000000001</x:v>
      </x:c>
      <x:c r="Q10" s="146" t="str">
        <x:f>IF(A10="","",IF(OR(M10&lt;0,N10&lt;O10,J10&lt;30),"Red",IF(OR(P10&lt;0.15,J10&lt;45),"Amber","Green")))</x:f>
        <x:v>Green</x:v>
      </x:c>
      <x:c r="R10" s="140" t="str">
        <x:v>Headroom stabilised after funding action.</x:v>
      </x:c>
      <x:c r="T10" s="256" t="str">
        <x:f>TEXT(A10,"dd-mmm")</x:f>
        <x:v>27-Aug</x:v>
      </x:c>
      <x:c r="U10" s="257" t="n">
        <x:f>M10</x:f>
        <x:v>38200000</x:v>
      </x:c>
    </x:row>
    <x:row r="11">
      <x:c r="A11" s="155" t="n">
        <x:v>46262</x:v>
      </x:c>
      <x:c r="B11" s="140" t="str">
        <x:v>GBP</x:v>
      </x:c>
      <x:c r="C11" s="140" t="str">
        <x:v>UK Investment Firm</x:v>
      </x:c>
      <x:c r="D11" s="164" t="n">
        <x:v>16500000</x:v>
      </x:c>
      <x:c r="E11" s="164" t="n">
        <x:v>29800000</x:v>
      </x:c>
      <x:c r="F11" s="164" t="n">
        <x:v>10000000</x:v>
      </x:c>
      <x:c r="G11" s="164" t="n">
        <x:v>8300000</x:v>
      </x:c>
      <x:c r="H11" s="164" t="n">
        <x:v>38400000</x:v>
      </x:c>
      <x:c r="I11" s="215" t="n">
        <x:f>IF(A11="","",MAX(H11-G11,0))</x:f>
        <x:v>30100000</x:v>
      </x:c>
      <x:c r="J11" s="140" t="n">
        <x:v>52</x:v>
      </x:c>
      <x:c r="K11" s="164" t="n">
        <x:v>18000000</x:v>
      </x:c>
      <x:c r="L11" s="215" t="n">
        <x:f>IF(A11="","",D11+E11+F11)</x:f>
        <x:v>56300000</x:v>
      </x:c>
      <x:c r="M11" s="215" t="n">
        <x:f>IF(A11="","",L11-K11)</x:f>
        <x:v>38300000</x:v>
      </x:c>
      <x:c r="N11" s="218" t="n">
        <x:f>IF(OR(A11="",I11=0),"",(D11+E11)/I11)</x:f>
        <x:v>1.5382059800664452</x:v>
      </x:c>
      <x:c r="O11" s="205" t="n">
        <x:v>1.2</x:v>
      </x:c>
      <x:c r="P11" s="218" t="n">
        <x:f>IF(A11="","",N11-O11)</x:f>
        <x:v>0.3382059800664452</x:v>
      </x:c>
      <x:c r="Q11" s="146" t="str">
        <x:f>IF(A11="","",IF(OR(M11&lt;0,N11&lt;O11,J11&lt;30),"Red",IF(OR(P11&lt;0.15,J11&lt;45),"Amber","Green")))</x:f>
        <x:v>Green</x:v>
      </x:c>
      <x:c r="R11" s="140" t="str">
        <x:v>Position improving; maintain enhanced monitoring.</x:v>
      </x:c>
      <x:c r="T11" s="256" t="str">
        <x:f>TEXT(A11,"dd-mmm")</x:f>
        <x:v>28-Aug</x:v>
      </x:c>
      <x:c r="U11" s="257" t="n">
        <x:f>M11</x:f>
        <x:v>38300000</x:v>
      </x:c>
    </x:row>
    <x:row r="12">
      <x:c r="A12" s="155"/>
      <x:c r="B12" s="140"/>
      <x:c r="C12" s="140"/>
      <x:c r="D12" s="164"/>
      <x:c r="E12" s="164"/>
      <x:c r="F12" s="164"/>
      <x:c r="G12" s="164"/>
      <x:c r="H12" s="164"/>
      <x:c r="I12" s="215" t="str">
        <x:f>IF(A12="","",MAX(H12-G12,0))</x:f>
      </x:c>
      <x:c r="J12" s="140"/>
      <x:c r="K12" s="164"/>
      <x:c r="L12" s="215" t="str">
        <x:f>IF(A12="","",D12+E12+F12)</x:f>
      </x:c>
      <x:c r="M12" s="215" t="str">
        <x:f>IF(A12="","",L12-K12)</x:f>
      </x:c>
      <x:c r="N12" s="218" t="str">
        <x:f>IF(OR(A12="",I12=0),"",(D12+E12)/I12)</x:f>
      </x:c>
      <x:c r="O12" s="205"/>
      <x:c r="P12" s="218" t="str">
        <x:f>IF(A12="","",N12-O12)</x:f>
      </x:c>
      <x:c r="Q12" s="146" t="str">
        <x:f>IF(A12="","",IF(OR(M12&lt;0,N12&lt;O12,J12&lt;30),"Red",IF(OR(P12&lt;0.15,J12&lt;45),"Amber","Green")))</x:f>
      </x:c>
      <x:c r="R12" s="140"/>
    </x:row>
    <x:row r="13">
      <x:c r="A13" s="155"/>
      <x:c r="B13" s="140"/>
      <x:c r="C13" s="140"/>
      <x:c r="D13" s="164"/>
      <x:c r="E13" s="164"/>
      <x:c r="F13" s="164"/>
      <x:c r="G13" s="164"/>
      <x:c r="H13" s="164"/>
      <x:c r="I13" s="215" t="str">
        <x:f>IF(A13="","",MAX(H13-G13,0))</x:f>
      </x:c>
      <x:c r="J13" s="140"/>
      <x:c r="K13" s="164"/>
      <x:c r="L13" s="215" t="str">
        <x:f>IF(A13="","",D13+E13+F13)</x:f>
      </x:c>
      <x:c r="M13" s="215" t="str">
        <x:f>IF(A13="","",L13-K13)</x:f>
      </x:c>
      <x:c r="N13" s="218" t="str">
        <x:f>IF(OR(A13="",I13=0),"",(D13+E13)/I13)</x:f>
      </x:c>
      <x:c r="O13" s="205"/>
      <x:c r="P13" s="218" t="str">
        <x:f>IF(A13="","",N13-O13)</x:f>
      </x:c>
      <x:c r="Q13" s="146" t="str">
        <x:f>IF(A13="","",IF(OR(M13&lt;0,N13&lt;O13,J13&lt;30),"Red",IF(OR(P13&lt;0.15,J13&lt;45),"Amber","Green")))</x:f>
      </x:c>
      <x:c r="R13" s="140"/>
    </x:row>
    <x:row r="14">
      <x:c r="A14" s="155"/>
      <x:c r="B14" s="140"/>
      <x:c r="C14" s="140"/>
      <x:c r="D14" s="164"/>
      <x:c r="E14" s="164"/>
      <x:c r="F14" s="164"/>
      <x:c r="G14" s="164"/>
      <x:c r="H14" s="164"/>
      <x:c r="I14" s="215" t="str">
        <x:f>IF(A14="","",MAX(H14-G14,0))</x:f>
      </x:c>
      <x:c r="J14" s="140"/>
      <x:c r="K14" s="164"/>
      <x:c r="L14" s="215" t="str">
        <x:f>IF(A14="","",D14+E14+F14)</x:f>
      </x:c>
      <x:c r="M14" s="215" t="str">
        <x:f>IF(A14="","",L14-K14)</x:f>
      </x:c>
      <x:c r="N14" s="218" t="str">
        <x:f>IF(OR(A14="",I14=0),"",(D14+E14)/I14)</x:f>
      </x:c>
      <x:c r="O14" s="205"/>
      <x:c r="P14" s="218" t="str">
        <x:f>IF(A14="","",N14-O14)</x:f>
      </x:c>
      <x:c r="Q14" s="146" t="str">
        <x:f>IF(A14="","",IF(OR(M14&lt;0,N14&lt;O14,J14&lt;30),"Red",IF(OR(P14&lt;0.15,J14&lt;45),"Amber","Green")))</x:f>
      </x:c>
      <x:c r="R14" s="140"/>
    </x:row>
    <x:row r="15">
      <x:c r="A15" s="155"/>
      <x:c r="B15" s="140"/>
      <x:c r="C15" s="140"/>
      <x:c r="D15" s="164"/>
      <x:c r="E15" s="164"/>
      <x:c r="F15" s="164"/>
      <x:c r="G15" s="164"/>
      <x:c r="H15" s="164"/>
      <x:c r="I15" s="215" t="str">
        <x:f>IF(A15="","",MAX(H15-G15,0))</x:f>
      </x:c>
      <x:c r="J15" s="140"/>
      <x:c r="K15" s="164"/>
      <x:c r="L15" s="215" t="str">
        <x:f>IF(A15="","",D15+E15+F15)</x:f>
      </x:c>
      <x:c r="M15" s="215" t="str">
        <x:f>IF(A15="","",L15-K15)</x:f>
      </x:c>
      <x:c r="N15" s="218" t="str">
        <x:f>IF(OR(A15="",I15=0),"",(D15+E15)/I15)</x:f>
      </x:c>
      <x:c r="O15" s="205"/>
      <x:c r="P15" s="218" t="str">
        <x:f>IF(A15="","",N15-O15)</x:f>
      </x:c>
      <x:c r="Q15" s="146" t="str">
        <x:f>IF(A15="","",IF(OR(M15&lt;0,N15&lt;O15,J15&lt;30),"Red",IF(OR(P15&lt;0.15,J15&lt;45),"Amber","Green")))</x:f>
      </x:c>
      <x:c r="R15" s="140"/>
    </x:row>
    <x:row r="16">
      <x:c r="A16" s="155"/>
      <x:c r="B16" s="140"/>
      <x:c r="C16" s="140"/>
      <x:c r="D16" s="164"/>
      <x:c r="E16" s="164"/>
      <x:c r="F16" s="164"/>
      <x:c r="G16" s="164"/>
      <x:c r="H16" s="164"/>
      <x:c r="I16" s="215" t="str">
        <x:f>IF(A16="","",MAX(H16-G16,0))</x:f>
      </x:c>
      <x:c r="J16" s="140"/>
      <x:c r="K16" s="164"/>
      <x:c r="L16" s="215" t="str">
        <x:f>IF(A16="","",D16+E16+F16)</x:f>
      </x:c>
      <x:c r="M16" s="215" t="str">
        <x:f>IF(A16="","",L16-K16)</x:f>
      </x:c>
      <x:c r="N16" s="218" t="str">
        <x:f>IF(OR(A16="",I16=0),"",(D16+E16)/I16)</x:f>
      </x:c>
      <x:c r="O16" s="205"/>
      <x:c r="P16" s="218" t="str">
        <x:f>IF(A16="","",N16-O16)</x:f>
      </x:c>
      <x:c r="Q16" s="146" t="str">
        <x:f>IF(A16="","",IF(OR(M16&lt;0,N16&lt;O16,J16&lt;30),"Red",IF(OR(P16&lt;0.15,J16&lt;45),"Amber","Green")))</x:f>
      </x:c>
      <x:c r="R16" s="140"/>
    </x:row>
    <x:row r="17">
      <x:c r="A17" s="155"/>
      <x:c r="B17" s="140"/>
      <x:c r="C17" s="140"/>
      <x:c r="D17" s="164"/>
      <x:c r="E17" s="164"/>
      <x:c r="F17" s="164"/>
      <x:c r="G17" s="164"/>
      <x:c r="H17" s="164"/>
      <x:c r="I17" s="215" t="str">
        <x:f>IF(A17="","",MAX(H17-G17,0))</x:f>
      </x:c>
      <x:c r="J17" s="140"/>
      <x:c r="K17" s="164"/>
      <x:c r="L17" s="215" t="str">
        <x:f>IF(A17="","",D17+E17+F17)</x:f>
      </x:c>
      <x:c r="M17" s="215" t="str">
        <x:f>IF(A17="","",L17-K17)</x:f>
      </x:c>
      <x:c r="N17" s="218" t="str">
        <x:f>IF(OR(A17="",I17=0),"",(D17+E17)/I17)</x:f>
      </x:c>
      <x:c r="O17" s="205"/>
      <x:c r="P17" s="218" t="str">
        <x:f>IF(A17="","",N17-O17)</x:f>
      </x:c>
      <x:c r="Q17" s="146" t="str">
        <x:f>IF(A17="","",IF(OR(M17&lt;0,N17&lt;O17,J17&lt;30),"Red",IF(OR(P17&lt;0.15,J17&lt;45),"Amber","Green")))</x:f>
      </x:c>
      <x:c r="R17" s="140"/>
    </x:row>
    <x:row r="18">
      <x:c r="A18" s="155"/>
      <x:c r="B18" s="140"/>
      <x:c r="C18" s="140"/>
      <x:c r="D18" s="164"/>
      <x:c r="E18" s="164"/>
      <x:c r="F18" s="164"/>
      <x:c r="G18" s="164"/>
      <x:c r="H18" s="164"/>
      <x:c r="I18" s="215" t="str">
        <x:f>IF(A18="","",MAX(H18-G18,0))</x:f>
      </x:c>
      <x:c r="J18" s="140"/>
      <x:c r="K18" s="164"/>
      <x:c r="L18" s="215" t="str">
        <x:f>IF(A18="","",D18+E18+F18)</x:f>
      </x:c>
      <x:c r="M18" s="215" t="str">
        <x:f>IF(A18="","",L18-K18)</x:f>
      </x:c>
      <x:c r="N18" s="218" t="str">
        <x:f>IF(OR(A18="",I18=0),"",(D18+E18)/I18)</x:f>
      </x:c>
      <x:c r="O18" s="205"/>
      <x:c r="P18" s="218" t="str">
        <x:f>IF(A18="","",N18-O18)</x:f>
      </x:c>
      <x:c r="Q18" s="146" t="str">
        <x:f>IF(A18="","",IF(OR(M18&lt;0,N18&lt;O18,J18&lt;30),"Red",IF(OR(P18&lt;0.15,J18&lt;45),"Amber","Green")))</x:f>
      </x:c>
      <x:c r="R18" s="140"/>
    </x:row>
    <x:row r="19">
      <x:c r="A19" s="155"/>
      <x:c r="B19" s="140"/>
      <x:c r="C19" s="140"/>
      <x:c r="D19" s="164"/>
      <x:c r="E19" s="164"/>
      <x:c r="F19" s="164"/>
      <x:c r="G19" s="164"/>
      <x:c r="H19" s="164"/>
      <x:c r="I19" s="215" t="str">
        <x:f>IF(A19="","",MAX(H19-G19,0))</x:f>
      </x:c>
      <x:c r="J19" s="140"/>
      <x:c r="K19" s="164"/>
      <x:c r="L19" s="215" t="str">
        <x:f>IF(A19="","",D19+E19+F19)</x:f>
      </x:c>
      <x:c r="M19" s="215" t="str">
        <x:f>IF(A19="","",L19-K19)</x:f>
      </x:c>
      <x:c r="N19" s="218" t="str">
        <x:f>IF(OR(A19="",I19=0),"",(D19+E19)/I19)</x:f>
      </x:c>
      <x:c r="O19" s="205"/>
      <x:c r="P19" s="218" t="str">
        <x:f>IF(A19="","",N19-O19)</x:f>
      </x:c>
      <x:c r="Q19" s="146" t="str">
        <x:f>IF(A19="","",IF(OR(M19&lt;0,N19&lt;O19,J19&lt;30),"Red",IF(OR(P19&lt;0.15,J19&lt;45),"Amber","Green")))</x:f>
      </x:c>
      <x:c r="R19" s="140"/>
    </x:row>
    <x:row r="20">
      <x:c r="A20" s="155"/>
      <x:c r="B20" s="140"/>
      <x:c r="C20" s="140"/>
      <x:c r="D20" s="164"/>
      <x:c r="E20" s="164"/>
      <x:c r="F20" s="164"/>
      <x:c r="G20" s="164"/>
      <x:c r="H20" s="164"/>
      <x:c r="I20" s="215" t="str">
        <x:f>IF(A20="","",MAX(H20-G20,0))</x:f>
      </x:c>
      <x:c r="J20" s="140"/>
      <x:c r="K20" s="164"/>
      <x:c r="L20" s="215" t="str">
        <x:f>IF(A20="","",D20+E20+F20)</x:f>
      </x:c>
      <x:c r="M20" s="215" t="str">
        <x:f>IF(A20="","",L20-K20)</x:f>
      </x:c>
      <x:c r="N20" s="218" t="str">
        <x:f>IF(OR(A20="",I20=0),"",(D20+E20)/I20)</x:f>
      </x:c>
      <x:c r="O20" s="205"/>
      <x:c r="P20" s="218" t="str">
        <x:f>IF(A20="","",N20-O20)</x:f>
      </x:c>
      <x:c r="Q20" s="146" t="str">
        <x:f>IF(A20="","",IF(OR(M20&lt;0,N20&lt;O20,J20&lt;30),"Red",IF(OR(P20&lt;0.15,J20&lt;45),"Amber","Green")))</x:f>
      </x:c>
      <x:c r="R20" s="140"/>
    </x:row>
    <x:row r="21">
      <x:c r="A21" s="155"/>
      <x:c r="B21" s="140"/>
      <x:c r="C21" s="140"/>
      <x:c r="D21" s="164"/>
      <x:c r="E21" s="164"/>
      <x:c r="F21" s="164"/>
      <x:c r="G21" s="164"/>
      <x:c r="H21" s="164"/>
      <x:c r="I21" s="215" t="str">
        <x:f>IF(A21="","",MAX(H21-G21,0))</x:f>
      </x:c>
      <x:c r="J21" s="140"/>
      <x:c r="K21" s="164"/>
      <x:c r="L21" s="215" t="str">
        <x:f>IF(A21="","",D21+E21+F21)</x:f>
      </x:c>
      <x:c r="M21" s="215" t="str">
        <x:f>IF(A21="","",L21-K21)</x:f>
      </x:c>
      <x:c r="N21" s="218" t="str">
        <x:f>IF(OR(A21="",I21=0),"",(D21+E21)/I21)</x:f>
      </x:c>
      <x:c r="O21" s="205"/>
      <x:c r="P21" s="218" t="str">
        <x:f>IF(A21="","",N21-O21)</x:f>
      </x:c>
      <x:c r="Q21" s="146" t="str">
        <x:f>IF(A21="","",IF(OR(M21&lt;0,N21&lt;O21,J21&lt;30),"Red",IF(OR(P21&lt;0.15,J21&lt;45),"Amber","Green")))</x:f>
      </x:c>
      <x:c r="R21" s="140"/>
    </x:row>
    <x:row r="22">
      <x:c r="A22" s="155"/>
      <x:c r="B22" s="140"/>
      <x:c r="C22" s="140"/>
      <x:c r="D22" s="164"/>
      <x:c r="E22" s="164"/>
      <x:c r="F22" s="164"/>
      <x:c r="G22" s="164"/>
      <x:c r="H22" s="164"/>
      <x:c r="I22" s="215" t="str">
        <x:f>IF(A22="","",MAX(H22-G22,0))</x:f>
      </x:c>
      <x:c r="J22" s="140"/>
      <x:c r="K22" s="164"/>
      <x:c r="L22" s="215" t="str">
        <x:f>IF(A22="","",D22+E22+F22)</x:f>
      </x:c>
      <x:c r="M22" s="215" t="str">
        <x:f>IF(A22="","",L22-K22)</x:f>
      </x:c>
      <x:c r="N22" s="218" t="str">
        <x:f>IF(OR(A22="",I22=0),"",(D22+E22)/I22)</x:f>
      </x:c>
      <x:c r="O22" s="205"/>
      <x:c r="P22" s="218" t="str">
        <x:f>IF(A22="","",N22-O22)</x:f>
      </x:c>
      <x:c r="Q22" s="146" t="str">
        <x:f>IF(A22="","",IF(OR(M22&lt;0,N22&lt;O22,J22&lt;30),"Red",IF(OR(P22&lt;0.15,J22&lt;45),"Amber","Green")))</x:f>
      </x:c>
      <x:c r="R22" s="140"/>
    </x:row>
    <x:row r="23">
      <x:c r="A23" s="155"/>
      <x:c r="B23" s="140"/>
      <x:c r="C23" s="140"/>
      <x:c r="D23" s="164"/>
      <x:c r="E23" s="164"/>
      <x:c r="F23" s="164"/>
      <x:c r="G23" s="164"/>
      <x:c r="H23" s="164"/>
      <x:c r="I23" s="215" t="str">
        <x:f>IF(A23="","",MAX(H23-G23,0))</x:f>
      </x:c>
      <x:c r="J23" s="140"/>
      <x:c r="K23" s="164"/>
      <x:c r="L23" s="215" t="str">
        <x:f>IF(A23="","",D23+E23+F23)</x:f>
      </x:c>
      <x:c r="M23" s="215" t="str">
        <x:f>IF(A23="","",L23-K23)</x:f>
      </x:c>
      <x:c r="N23" s="218" t="str">
        <x:f>IF(OR(A23="",I23=0),"",(D23+E23)/I23)</x:f>
      </x:c>
      <x:c r="O23" s="205"/>
      <x:c r="P23" s="218" t="str">
        <x:f>IF(A23="","",N23-O23)</x:f>
      </x:c>
      <x:c r="Q23" s="146" t="str">
        <x:f>IF(A23="","",IF(OR(M23&lt;0,N23&lt;O23,J23&lt;30),"Red",IF(OR(P23&lt;0.15,J23&lt;45),"Amber","Green")))</x:f>
      </x:c>
      <x:c r="R23" s="140"/>
    </x:row>
    <x:row r="24">
      <x:c r="A24" s="155"/>
      <x:c r="B24" s="140"/>
      <x:c r="C24" s="140"/>
      <x:c r="D24" s="164"/>
      <x:c r="E24" s="164"/>
      <x:c r="F24" s="164"/>
      <x:c r="G24" s="164"/>
      <x:c r="H24" s="164"/>
      <x:c r="I24" s="215" t="str">
        <x:f>IF(A24="","",MAX(H24-G24,0))</x:f>
      </x:c>
      <x:c r="J24" s="140"/>
      <x:c r="K24" s="164"/>
      <x:c r="L24" s="215" t="str">
        <x:f>IF(A24="","",D24+E24+F24)</x:f>
      </x:c>
      <x:c r="M24" s="215" t="str">
        <x:f>IF(A24="","",L24-K24)</x:f>
      </x:c>
      <x:c r="N24" s="218" t="str">
        <x:f>IF(OR(A24="",I24=0),"",(D24+E24)/I24)</x:f>
      </x:c>
      <x:c r="O24" s="205"/>
      <x:c r="P24" s="218" t="str">
        <x:f>IF(A24="","",N24-O24)</x:f>
      </x:c>
      <x:c r="Q24" s="146" t="str">
        <x:f>IF(A24="","",IF(OR(M24&lt;0,N24&lt;O24,J24&lt;30),"Red",IF(OR(P24&lt;0.15,J24&lt;45),"Amber","Green")))</x:f>
      </x:c>
      <x:c r="R24" s="140"/>
    </x:row>
    <x:row r="25">
      <x:c r="A25" s="155"/>
      <x:c r="B25" s="140"/>
      <x:c r="C25" s="140"/>
      <x:c r="D25" s="164"/>
      <x:c r="E25" s="164"/>
      <x:c r="F25" s="164"/>
      <x:c r="G25" s="164"/>
      <x:c r="H25" s="164"/>
      <x:c r="I25" s="215" t="str">
        <x:f>IF(A25="","",MAX(H25-G25,0))</x:f>
      </x:c>
      <x:c r="J25" s="140"/>
      <x:c r="K25" s="164"/>
      <x:c r="L25" s="215" t="str">
        <x:f>IF(A25="","",D25+E25+F25)</x:f>
      </x:c>
      <x:c r="M25" s="215" t="str">
        <x:f>IF(A25="","",L25-K25)</x:f>
      </x:c>
      <x:c r="N25" s="218" t="str">
        <x:f>IF(OR(A25="",I25=0),"",(D25+E25)/I25)</x:f>
      </x:c>
      <x:c r="O25" s="205"/>
      <x:c r="P25" s="218" t="str">
        <x:f>IF(A25="","",N25-O25)</x:f>
      </x:c>
      <x:c r="Q25" s="146" t="str">
        <x:f>IF(A25="","",IF(OR(M25&lt;0,N25&lt;O25,J25&lt;30),"Red",IF(OR(P25&lt;0.15,J25&lt;45),"Amber","Green")))</x:f>
      </x:c>
      <x:c r="R25" s="140"/>
    </x:row>
    <x:row r="26">
      <x:c r="A26" s="155"/>
      <x:c r="B26" s="140"/>
      <x:c r="C26" s="140"/>
      <x:c r="D26" s="164"/>
      <x:c r="E26" s="164"/>
      <x:c r="F26" s="164"/>
      <x:c r="G26" s="164"/>
      <x:c r="H26" s="164"/>
      <x:c r="I26" s="215" t="str">
        <x:f>IF(A26="","",MAX(H26-G26,0))</x:f>
      </x:c>
      <x:c r="J26" s="140"/>
      <x:c r="K26" s="164"/>
      <x:c r="L26" s="215" t="str">
        <x:f>IF(A26="","",D26+E26+F26)</x:f>
      </x:c>
      <x:c r="M26" s="215" t="str">
        <x:f>IF(A26="","",L26-K26)</x:f>
      </x:c>
      <x:c r="N26" s="218" t="str">
        <x:f>IF(OR(A26="",I26=0),"",(D26+E26)/I26)</x:f>
      </x:c>
      <x:c r="O26" s="205"/>
      <x:c r="P26" s="218" t="str">
        <x:f>IF(A26="","",N26-O26)</x:f>
      </x:c>
      <x:c r="Q26" s="146" t="str">
        <x:f>IF(A26="","",IF(OR(M26&lt;0,N26&lt;O26,J26&lt;30),"Red",IF(OR(P26&lt;0.15,J26&lt;45),"Amber","Green")))</x:f>
      </x:c>
      <x:c r="R26" s="140"/>
    </x:row>
    <x:row r="27">
      <x:c r="A27" s="155"/>
      <x:c r="B27" s="140"/>
      <x:c r="C27" s="140"/>
      <x:c r="D27" s="164"/>
      <x:c r="E27" s="164"/>
      <x:c r="F27" s="164"/>
      <x:c r="G27" s="164"/>
      <x:c r="H27" s="164"/>
      <x:c r="I27" s="215" t="str">
        <x:f>IF(A27="","",MAX(H27-G27,0))</x:f>
      </x:c>
      <x:c r="J27" s="140"/>
      <x:c r="K27" s="164"/>
      <x:c r="L27" s="215" t="str">
        <x:f>IF(A27="","",D27+E27+F27)</x:f>
      </x:c>
      <x:c r="M27" s="215" t="str">
        <x:f>IF(A27="","",L27-K27)</x:f>
      </x:c>
      <x:c r="N27" s="218" t="str">
        <x:f>IF(OR(A27="",I27=0),"",(D27+E27)/I27)</x:f>
      </x:c>
      <x:c r="O27" s="205"/>
      <x:c r="P27" s="218" t="str">
        <x:f>IF(A27="","",N27-O27)</x:f>
      </x:c>
      <x:c r="Q27" s="146" t="str">
        <x:f>IF(A27="","",IF(OR(M27&lt;0,N27&lt;O27,J27&lt;30),"Red",IF(OR(P27&lt;0.15,J27&lt;45),"Amber","Green")))</x:f>
      </x:c>
      <x:c r="R27" s="140"/>
    </x:row>
    <x:row r="28">
      <x:c r="A28" s="155"/>
      <x:c r="B28" s="140"/>
      <x:c r="C28" s="140"/>
      <x:c r="D28" s="164"/>
      <x:c r="E28" s="164"/>
      <x:c r="F28" s="164"/>
      <x:c r="G28" s="164"/>
      <x:c r="H28" s="164"/>
      <x:c r="I28" s="215" t="str">
        <x:f>IF(A28="","",MAX(H28-G28,0))</x:f>
      </x:c>
      <x:c r="J28" s="140"/>
      <x:c r="K28" s="164"/>
      <x:c r="L28" s="215" t="str">
        <x:f>IF(A28="","",D28+E28+F28)</x:f>
      </x:c>
      <x:c r="M28" s="215" t="str">
        <x:f>IF(A28="","",L28-K28)</x:f>
      </x:c>
      <x:c r="N28" s="218" t="str">
        <x:f>IF(OR(A28="",I28=0),"",(D28+E28)/I28)</x:f>
      </x:c>
      <x:c r="O28" s="205"/>
      <x:c r="P28" s="218" t="str">
        <x:f>IF(A28="","",N28-O28)</x:f>
      </x:c>
      <x:c r="Q28" s="146" t="str">
        <x:f>IF(A28="","",IF(OR(M28&lt;0,N28&lt;O28,J28&lt;30),"Red",IF(OR(P28&lt;0.15,J28&lt;45),"Amber","Green")))</x:f>
      </x:c>
      <x:c r="R28" s="140"/>
    </x:row>
    <x:row r="29">
      <x:c r="A29" s="155"/>
      <x:c r="B29" s="140"/>
      <x:c r="C29" s="140"/>
      <x:c r="D29" s="164"/>
      <x:c r="E29" s="164"/>
      <x:c r="F29" s="164"/>
      <x:c r="G29" s="164"/>
      <x:c r="H29" s="164"/>
      <x:c r="I29" s="215" t="str">
        <x:f>IF(A29="","",MAX(H29-G29,0))</x:f>
      </x:c>
      <x:c r="J29" s="140"/>
      <x:c r="K29" s="164"/>
      <x:c r="L29" s="215" t="str">
        <x:f>IF(A29="","",D29+E29+F29)</x:f>
      </x:c>
      <x:c r="M29" s="215" t="str">
        <x:f>IF(A29="","",L29-K29)</x:f>
      </x:c>
      <x:c r="N29" s="218" t="str">
        <x:f>IF(OR(A29="",I29=0),"",(D29+E29)/I29)</x:f>
      </x:c>
      <x:c r="O29" s="205"/>
      <x:c r="P29" s="218" t="str">
        <x:f>IF(A29="","",N29-O29)</x:f>
      </x:c>
      <x:c r="Q29" s="146" t="str">
        <x:f>IF(A29="","",IF(OR(M29&lt;0,N29&lt;O29,J29&lt;30),"Red",IF(OR(P29&lt;0.15,J29&lt;45),"Amber","Green")))</x:f>
      </x:c>
      <x:c r="R29" s="140"/>
    </x:row>
    <x:row r="30">
      <x:c r="A30" s="155"/>
      <x:c r="B30" s="140"/>
      <x:c r="C30" s="140"/>
      <x:c r="D30" s="164"/>
      <x:c r="E30" s="164"/>
      <x:c r="F30" s="164"/>
      <x:c r="G30" s="164"/>
      <x:c r="H30" s="164"/>
      <x:c r="I30" s="215" t="str">
        <x:f>IF(A30="","",MAX(H30-G30,0))</x:f>
      </x:c>
      <x:c r="J30" s="140"/>
      <x:c r="K30" s="164"/>
      <x:c r="L30" s="215" t="str">
        <x:f>IF(A30="","",D30+E30+F30)</x:f>
      </x:c>
      <x:c r="M30" s="215" t="str">
        <x:f>IF(A30="","",L30-K30)</x:f>
      </x:c>
      <x:c r="N30" s="218" t="str">
        <x:f>IF(OR(A30="",I30=0),"",(D30+E30)/I30)</x:f>
      </x:c>
      <x:c r="O30" s="205"/>
      <x:c r="P30" s="218" t="str">
        <x:f>IF(A30="","",N30-O30)</x:f>
      </x:c>
      <x:c r="Q30" s="146" t="str">
        <x:f>IF(A30="","",IF(OR(M30&lt;0,N30&lt;O30,J30&lt;30),"Red",IF(OR(P30&lt;0.15,J30&lt;45),"Amber","Green")))</x:f>
      </x:c>
      <x:c r="R30" s="140"/>
    </x:row>
    <x:row r="31">
      <x:c r="A31" s="155"/>
      <x:c r="B31" s="140"/>
      <x:c r="C31" s="140"/>
      <x:c r="D31" s="164"/>
      <x:c r="E31" s="164"/>
      <x:c r="F31" s="164"/>
      <x:c r="G31" s="164"/>
      <x:c r="H31" s="164"/>
      <x:c r="I31" s="215" t="str">
        <x:f>IF(A31="","",MAX(H31-G31,0))</x:f>
      </x:c>
      <x:c r="J31" s="140"/>
      <x:c r="K31" s="164"/>
      <x:c r="L31" s="215" t="str">
        <x:f>IF(A31="","",D31+E31+F31)</x:f>
      </x:c>
      <x:c r="M31" s="215" t="str">
        <x:f>IF(A31="","",L31-K31)</x:f>
      </x:c>
      <x:c r="N31" s="218" t="str">
        <x:f>IF(OR(A31="",I31=0),"",(D31+E31)/I31)</x:f>
      </x:c>
      <x:c r="O31" s="205"/>
      <x:c r="P31" s="218" t="str">
        <x:f>IF(A31="","",N31-O31)</x:f>
      </x:c>
      <x:c r="Q31" s="146" t="str">
        <x:f>IF(A31="","",IF(OR(M31&lt;0,N31&lt;O31,J31&lt;30),"Red",IF(OR(P31&lt;0.15,J31&lt;45),"Amber","Green")))</x:f>
      </x:c>
      <x:c r="R31" s="140"/>
    </x:row>
    <x:row r="32">
      <x:c r="A32" s="155"/>
      <x:c r="B32" s="140"/>
      <x:c r="C32" s="140"/>
      <x:c r="D32" s="164"/>
      <x:c r="E32" s="164"/>
      <x:c r="F32" s="164"/>
      <x:c r="G32" s="164"/>
      <x:c r="H32" s="164"/>
      <x:c r="I32" s="215" t="str">
        <x:f>IF(A32="","",MAX(H32-G32,0))</x:f>
      </x:c>
      <x:c r="J32" s="140"/>
      <x:c r="K32" s="164"/>
      <x:c r="L32" s="215" t="str">
        <x:f>IF(A32="","",D32+E32+F32)</x:f>
      </x:c>
      <x:c r="M32" s="215" t="str">
        <x:f>IF(A32="","",L32-K32)</x:f>
      </x:c>
      <x:c r="N32" s="218" t="str">
        <x:f>IF(OR(A32="",I32=0),"",(D32+E32)/I32)</x:f>
      </x:c>
      <x:c r="O32" s="205"/>
      <x:c r="P32" s="218" t="str">
        <x:f>IF(A32="","",N32-O32)</x:f>
      </x:c>
      <x:c r="Q32" s="146" t="str">
        <x:f>IF(A32="","",IF(OR(M32&lt;0,N32&lt;O32,J32&lt;30),"Red",IF(OR(P32&lt;0.15,J32&lt;45),"Amber","Green")))</x:f>
      </x:c>
      <x:c r="R32" s="140"/>
    </x:row>
    <x:row r="33">
      <x:c r="A33" s="155"/>
      <x:c r="B33" s="140"/>
      <x:c r="C33" s="140"/>
      <x:c r="D33" s="164"/>
      <x:c r="E33" s="164"/>
      <x:c r="F33" s="164"/>
      <x:c r="G33" s="164"/>
      <x:c r="H33" s="164"/>
      <x:c r="I33" s="215" t="str">
        <x:f>IF(A33="","",MAX(H33-G33,0))</x:f>
      </x:c>
      <x:c r="J33" s="140"/>
      <x:c r="K33" s="164"/>
      <x:c r="L33" s="215" t="str">
        <x:f>IF(A33="","",D33+E33+F33)</x:f>
      </x:c>
      <x:c r="M33" s="215" t="str">
        <x:f>IF(A33="","",L33-K33)</x:f>
      </x:c>
      <x:c r="N33" s="218" t="str">
        <x:f>IF(OR(A33="",I33=0),"",(D33+E33)/I33)</x:f>
      </x:c>
      <x:c r="O33" s="205"/>
      <x:c r="P33" s="218" t="str">
        <x:f>IF(A33="","",N33-O33)</x:f>
      </x:c>
      <x:c r="Q33" s="146" t="str">
        <x:f>IF(A33="","",IF(OR(M33&lt;0,N33&lt;O33,J33&lt;30),"Red",IF(OR(P33&lt;0.15,J33&lt;45),"Amber","Green")))</x:f>
      </x:c>
      <x:c r="R33" s="140"/>
    </x:row>
    <x:row r="34">
      <x:c r="A34" s="155"/>
      <x:c r="B34" s="140"/>
      <x:c r="C34" s="140"/>
      <x:c r="D34" s="164"/>
      <x:c r="E34" s="164"/>
      <x:c r="F34" s="164"/>
      <x:c r="G34" s="164"/>
      <x:c r="H34" s="164"/>
      <x:c r="I34" s="215" t="str">
        <x:f>IF(A34="","",MAX(H34-G34,0))</x:f>
      </x:c>
      <x:c r="J34" s="140"/>
      <x:c r="K34" s="164"/>
      <x:c r="L34" s="215" t="str">
        <x:f>IF(A34="","",D34+E34+F34)</x:f>
      </x:c>
      <x:c r="M34" s="215" t="str">
        <x:f>IF(A34="","",L34-K34)</x:f>
      </x:c>
      <x:c r="N34" s="218" t="str">
        <x:f>IF(OR(A34="",I34=0),"",(D34+E34)/I34)</x:f>
      </x:c>
      <x:c r="O34" s="205"/>
      <x:c r="P34" s="218" t="str">
        <x:f>IF(A34="","",N34-O34)</x:f>
      </x:c>
      <x:c r="Q34" s="146" t="str">
        <x:f>IF(A34="","",IF(OR(M34&lt;0,N34&lt;O34,J34&lt;30),"Red",IF(OR(P34&lt;0.15,J34&lt;45),"Amber","Green")))</x:f>
      </x:c>
      <x:c r="R34" s="140"/>
    </x:row>
    <x:row r="35">
      <x:c r="A35" s="155"/>
      <x:c r="B35" s="140"/>
      <x:c r="C35" s="140"/>
      <x:c r="D35" s="164"/>
      <x:c r="E35" s="164"/>
      <x:c r="F35" s="164"/>
      <x:c r="G35" s="164"/>
      <x:c r="H35" s="164"/>
      <x:c r="I35" s="215" t="str">
        <x:f>IF(A35="","",MAX(H35-G35,0))</x:f>
      </x:c>
      <x:c r="J35" s="140"/>
      <x:c r="K35" s="164"/>
      <x:c r="L35" s="215" t="str">
        <x:f>IF(A35="","",D35+E35+F35)</x:f>
      </x:c>
      <x:c r="M35" s="215" t="str">
        <x:f>IF(A35="","",L35-K35)</x:f>
      </x:c>
      <x:c r="N35" s="218" t="str">
        <x:f>IF(OR(A35="",I35=0),"",(D35+E35)/I35)</x:f>
      </x:c>
      <x:c r="O35" s="205"/>
      <x:c r="P35" s="218" t="str">
        <x:f>IF(A35="","",N35-O35)</x:f>
      </x:c>
      <x:c r="Q35" s="146" t="str">
        <x:f>IF(A35="","",IF(OR(M35&lt;0,N35&lt;O35,J35&lt;30),"Red",IF(OR(P35&lt;0.15,J35&lt;45),"Amber","Green")))</x:f>
      </x:c>
      <x:c r="R35" s="140"/>
    </x:row>
    <x:row r="36">
      <x:c r="A36" s="155"/>
      <x:c r="B36" s="140"/>
      <x:c r="C36" s="140"/>
      <x:c r="D36" s="164"/>
      <x:c r="E36" s="164"/>
      <x:c r="F36" s="164"/>
      <x:c r="G36" s="164"/>
      <x:c r="H36" s="164"/>
      <x:c r="I36" s="215" t="str">
        <x:f>IF(A36="","",MAX(H36-G36,0))</x:f>
      </x:c>
      <x:c r="J36" s="140"/>
      <x:c r="K36" s="164"/>
      <x:c r="L36" s="215" t="str">
        <x:f>IF(A36="","",D36+E36+F36)</x:f>
      </x:c>
      <x:c r="M36" s="215" t="str">
        <x:f>IF(A36="","",L36-K36)</x:f>
      </x:c>
      <x:c r="N36" s="218" t="str">
        <x:f>IF(OR(A36="",I36=0),"",(D36+E36)/I36)</x:f>
      </x:c>
      <x:c r="O36" s="205"/>
      <x:c r="P36" s="218" t="str">
        <x:f>IF(A36="","",N36-O36)</x:f>
      </x:c>
      <x:c r="Q36" s="146" t="str">
        <x:f>IF(A36="","",IF(OR(M36&lt;0,N36&lt;O36,J36&lt;30),"Red",IF(OR(P36&lt;0.15,J36&lt;45),"Amber","Green")))</x:f>
      </x:c>
      <x:c r="R36" s="140"/>
    </x:row>
    <x:row r="37">
      <x:c r="A37" s="155"/>
      <x:c r="B37" s="140"/>
      <x:c r="C37" s="140"/>
      <x:c r="D37" s="164"/>
      <x:c r="E37" s="164"/>
      <x:c r="F37" s="164"/>
      <x:c r="G37" s="164"/>
      <x:c r="H37" s="164"/>
      <x:c r="I37" s="215" t="str">
        <x:f>IF(A37="","",MAX(H37-G37,0))</x:f>
      </x:c>
      <x:c r="J37" s="140"/>
      <x:c r="K37" s="164"/>
      <x:c r="L37" s="215" t="str">
        <x:f>IF(A37="","",D37+E37+F37)</x:f>
      </x:c>
      <x:c r="M37" s="215" t="str">
        <x:f>IF(A37="","",L37-K37)</x:f>
      </x:c>
      <x:c r="N37" s="218" t="str">
        <x:f>IF(OR(A37="",I37=0),"",(D37+E37)/I37)</x:f>
      </x:c>
      <x:c r="O37" s="205"/>
      <x:c r="P37" s="218" t="str">
        <x:f>IF(A37="","",N37-O37)</x:f>
      </x:c>
      <x:c r="Q37" s="146" t="str">
        <x:f>IF(A37="","",IF(OR(M37&lt;0,N37&lt;O37,J37&lt;30),"Red",IF(OR(P37&lt;0.15,J37&lt;45),"Amber","Green")))</x:f>
      </x:c>
      <x:c r="R37" s="140"/>
    </x:row>
    <x:row r="38">
      <x:c r="A38" s="155"/>
      <x:c r="B38" s="140"/>
      <x:c r="C38" s="140"/>
      <x:c r="D38" s="164"/>
      <x:c r="E38" s="164"/>
      <x:c r="F38" s="164"/>
      <x:c r="G38" s="164"/>
      <x:c r="H38" s="164"/>
      <x:c r="I38" s="215" t="str">
        <x:f>IF(A38="","",MAX(H38-G38,0))</x:f>
      </x:c>
      <x:c r="J38" s="140"/>
      <x:c r="K38" s="164"/>
      <x:c r="L38" s="215" t="str">
        <x:f>IF(A38="","",D38+E38+F38)</x:f>
      </x:c>
      <x:c r="M38" s="215" t="str">
        <x:f>IF(A38="","",L38-K38)</x:f>
      </x:c>
      <x:c r="N38" s="218" t="str">
        <x:f>IF(OR(A38="",I38=0),"",(D38+E38)/I38)</x:f>
      </x:c>
      <x:c r="O38" s="205"/>
      <x:c r="P38" s="218" t="str">
        <x:f>IF(A38="","",N38-O38)</x:f>
      </x:c>
      <x:c r="Q38" s="146" t="str">
        <x:f>IF(A38="","",IF(OR(M38&lt;0,N38&lt;O38,J38&lt;30),"Red",IF(OR(P38&lt;0.15,J38&lt;45),"Amber","Green")))</x:f>
      </x:c>
      <x:c r="R38" s="140"/>
    </x:row>
    <x:row r="39">
      <x:c r="A39" s="155"/>
      <x:c r="B39" s="140"/>
      <x:c r="C39" s="140"/>
      <x:c r="D39" s="164"/>
      <x:c r="E39" s="164"/>
      <x:c r="F39" s="164"/>
      <x:c r="G39" s="164"/>
      <x:c r="H39" s="164"/>
      <x:c r="I39" s="215" t="str">
        <x:f>IF(A39="","",MAX(H39-G39,0))</x:f>
      </x:c>
      <x:c r="J39" s="140"/>
      <x:c r="K39" s="164"/>
      <x:c r="L39" s="215" t="str">
        <x:f>IF(A39="","",D39+E39+F39)</x:f>
      </x:c>
      <x:c r="M39" s="215" t="str">
        <x:f>IF(A39="","",L39-K39)</x:f>
      </x:c>
      <x:c r="N39" s="218" t="str">
        <x:f>IF(OR(A39="",I39=0),"",(D39+E39)/I39)</x:f>
      </x:c>
      <x:c r="O39" s="205"/>
      <x:c r="P39" s="218" t="str">
        <x:f>IF(A39="","",N39-O39)</x:f>
      </x:c>
      <x:c r="Q39" s="146" t="str">
        <x:f>IF(A39="","",IF(OR(M39&lt;0,N39&lt;O39,J39&lt;30),"Red",IF(OR(P39&lt;0.15,J39&lt;45),"Amber","Green")))</x:f>
      </x:c>
      <x:c r="R39" s="140"/>
    </x:row>
    <x:row r="40">
      <x:c r="A40" s="155"/>
      <x:c r="B40" s="140"/>
      <x:c r="C40" s="140"/>
      <x:c r="D40" s="164"/>
      <x:c r="E40" s="164"/>
      <x:c r="F40" s="164"/>
      <x:c r="G40" s="164"/>
      <x:c r="H40" s="164"/>
      <x:c r="I40" s="215" t="str">
        <x:f>IF(A40="","",MAX(H40-G40,0))</x:f>
      </x:c>
      <x:c r="J40" s="140"/>
      <x:c r="K40" s="164"/>
      <x:c r="L40" s="215" t="str">
        <x:f>IF(A40="","",D40+E40+F40)</x:f>
      </x:c>
      <x:c r="M40" s="215" t="str">
        <x:f>IF(A40="","",L40-K40)</x:f>
      </x:c>
      <x:c r="N40" s="218" t="str">
        <x:f>IF(OR(A40="",I40=0),"",(D40+E40)/I40)</x:f>
      </x:c>
      <x:c r="O40" s="205"/>
      <x:c r="P40" s="218" t="str">
        <x:f>IF(A40="","",N40-O40)</x:f>
      </x:c>
      <x:c r="Q40" s="146" t="str">
        <x:f>IF(A40="","",IF(OR(M40&lt;0,N40&lt;O40,J40&lt;30),"Red",IF(OR(P40&lt;0.15,J40&lt;45),"Amber","Green")))</x:f>
      </x:c>
      <x:c r="R40" s="140"/>
    </x:row>
    <x:row r="41">
      <x:c r="A41" s="155"/>
      <x:c r="B41" s="140"/>
      <x:c r="C41" s="140"/>
      <x:c r="D41" s="164"/>
      <x:c r="E41" s="164"/>
      <x:c r="F41" s="164"/>
      <x:c r="G41" s="164"/>
      <x:c r="H41" s="164"/>
      <x:c r="I41" s="215" t="str">
        <x:f>IF(A41="","",MAX(H41-G41,0))</x:f>
      </x:c>
      <x:c r="J41" s="140"/>
      <x:c r="K41" s="164"/>
      <x:c r="L41" s="215" t="str">
        <x:f>IF(A41="","",D41+E41+F41)</x:f>
      </x:c>
      <x:c r="M41" s="215" t="str">
        <x:f>IF(A41="","",L41-K41)</x:f>
      </x:c>
      <x:c r="N41" s="218" t="str">
        <x:f>IF(OR(A41="",I41=0),"",(D41+E41)/I41)</x:f>
      </x:c>
      <x:c r="O41" s="205"/>
      <x:c r="P41" s="218" t="str">
        <x:f>IF(A41="","",N41-O41)</x:f>
      </x:c>
      <x:c r="Q41" s="146" t="str">
        <x:f>IF(A41="","",IF(OR(M41&lt;0,N41&lt;O41,J41&lt;30),"Red",IF(OR(P41&lt;0.15,J41&lt;45),"Amber","Green")))</x:f>
      </x:c>
      <x:c r="R41" s="140"/>
    </x:row>
    <x:row r="42">
      <x:c r="A42" s="155"/>
      <x:c r="B42" s="140"/>
      <x:c r="C42" s="140"/>
      <x:c r="D42" s="164"/>
      <x:c r="E42" s="164"/>
      <x:c r="F42" s="164"/>
      <x:c r="G42" s="164"/>
      <x:c r="H42" s="164"/>
      <x:c r="I42" s="215" t="str">
        <x:f>IF(A42="","",MAX(H42-G42,0))</x:f>
      </x:c>
      <x:c r="J42" s="140"/>
      <x:c r="K42" s="164"/>
      <x:c r="L42" s="215" t="str">
        <x:f>IF(A42="","",D42+E42+F42)</x:f>
      </x:c>
      <x:c r="M42" s="215" t="str">
        <x:f>IF(A42="","",L42-K42)</x:f>
      </x:c>
      <x:c r="N42" s="218" t="str">
        <x:f>IF(OR(A42="",I42=0),"",(D42+E42)/I42)</x:f>
      </x:c>
      <x:c r="O42" s="205"/>
      <x:c r="P42" s="218" t="str">
        <x:f>IF(A42="","",N42-O42)</x:f>
      </x:c>
      <x:c r="Q42" s="146" t="str">
        <x:f>IF(A42="","",IF(OR(M42&lt;0,N42&lt;O42,J42&lt;30),"Red",IF(OR(P42&lt;0.15,J42&lt;45),"Amber","Green")))</x:f>
      </x:c>
      <x:c r="R42" s="140"/>
    </x:row>
    <x:row r="43">
      <x:c r="A43" s="155"/>
      <x:c r="B43" s="140"/>
      <x:c r="C43" s="140"/>
      <x:c r="D43" s="164"/>
      <x:c r="E43" s="164"/>
      <x:c r="F43" s="164"/>
      <x:c r="G43" s="164"/>
      <x:c r="H43" s="164"/>
      <x:c r="I43" s="215" t="str">
        <x:f>IF(A43="","",MAX(H43-G43,0))</x:f>
      </x:c>
      <x:c r="J43" s="140"/>
      <x:c r="K43" s="164"/>
      <x:c r="L43" s="215" t="str">
        <x:f>IF(A43="","",D43+E43+F43)</x:f>
      </x:c>
      <x:c r="M43" s="215" t="str">
        <x:f>IF(A43="","",L43-K43)</x:f>
      </x:c>
      <x:c r="N43" s="218" t="str">
        <x:f>IF(OR(A43="",I43=0),"",(D43+E43)/I43)</x:f>
      </x:c>
      <x:c r="O43" s="205"/>
      <x:c r="P43" s="218" t="str">
        <x:f>IF(A43="","",N43-O43)</x:f>
      </x:c>
      <x:c r="Q43" s="146" t="str">
        <x:f>IF(A43="","",IF(OR(M43&lt;0,N43&lt;O43,J43&lt;30),"Red",IF(OR(P43&lt;0.15,J43&lt;45),"Amber","Green")))</x:f>
      </x:c>
      <x:c r="R43" s="140"/>
    </x:row>
    <x:row r="44">
      <x:c r="A44" s="155"/>
      <x:c r="B44" s="140"/>
      <x:c r="C44" s="140"/>
      <x:c r="D44" s="164"/>
      <x:c r="E44" s="164"/>
      <x:c r="F44" s="164"/>
      <x:c r="G44" s="164"/>
      <x:c r="H44" s="164"/>
      <x:c r="I44" s="215" t="str">
        <x:f>IF(A44="","",MAX(H44-G44,0))</x:f>
      </x:c>
      <x:c r="J44" s="140"/>
      <x:c r="K44" s="164"/>
      <x:c r="L44" s="215" t="str">
        <x:f>IF(A44="","",D44+E44+F44)</x:f>
      </x:c>
      <x:c r="M44" s="215" t="str">
        <x:f>IF(A44="","",L44-K44)</x:f>
      </x:c>
      <x:c r="N44" s="218" t="str">
        <x:f>IF(OR(A44="",I44=0),"",(D44+E44)/I44)</x:f>
      </x:c>
      <x:c r="O44" s="205"/>
      <x:c r="P44" s="218" t="str">
        <x:f>IF(A44="","",N44-O44)</x:f>
      </x:c>
      <x:c r="Q44" s="146" t="str">
        <x:f>IF(A44="","",IF(OR(M44&lt;0,N44&lt;O44,J44&lt;30),"Red",IF(OR(P44&lt;0.15,J44&lt;45),"Amber","Green")))</x:f>
      </x:c>
      <x:c r="R44" s="140"/>
    </x:row>
    <x:row r="45">
      <x:c r="A45" s="155"/>
      <x:c r="B45" s="140"/>
      <x:c r="C45" s="140"/>
      <x:c r="D45" s="164"/>
      <x:c r="E45" s="164"/>
      <x:c r="F45" s="164"/>
      <x:c r="G45" s="164"/>
      <x:c r="H45" s="164"/>
      <x:c r="I45" s="215" t="str">
        <x:f>IF(A45="","",MAX(H45-G45,0))</x:f>
      </x:c>
      <x:c r="J45" s="140"/>
      <x:c r="K45" s="164"/>
      <x:c r="L45" s="215" t="str">
        <x:f>IF(A45="","",D45+E45+F45)</x:f>
      </x:c>
      <x:c r="M45" s="215" t="str">
        <x:f>IF(A45="","",L45-K45)</x:f>
      </x:c>
      <x:c r="N45" s="218" t="str">
        <x:f>IF(OR(A45="",I45=0),"",(D45+E45)/I45)</x:f>
      </x:c>
      <x:c r="O45" s="205"/>
      <x:c r="P45" s="218" t="str">
        <x:f>IF(A45="","",N45-O45)</x:f>
      </x:c>
      <x:c r="Q45" s="146" t="str">
        <x:f>IF(A45="","",IF(OR(M45&lt;0,N45&lt;O45,J45&lt;30),"Red",IF(OR(P45&lt;0.15,J45&lt;45),"Amber","Green")))</x:f>
      </x:c>
      <x:c r="R45" s="140"/>
    </x:row>
    <x:row r="46">
      <x:c r="A46" s="155"/>
      <x:c r="B46" s="140"/>
      <x:c r="C46" s="140"/>
      <x:c r="D46" s="164"/>
      <x:c r="E46" s="164"/>
      <x:c r="F46" s="164"/>
      <x:c r="G46" s="164"/>
      <x:c r="H46" s="164"/>
      <x:c r="I46" s="215" t="str">
        <x:f>IF(A46="","",MAX(H46-G46,0))</x:f>
      </x:c>
      <x:c r="J46" s="140"/>
      <x:c r="K46" s="164"/>
      <x:c r="L46" s="215" t="str">
        <x:f>IF(A46="","",D46+E46+F46)</x:f>
      </x:c>
      <x:c r="M46" s="215" t="str">
        <x:f>IF(A46="","",L46-K46)</x:f>
      </x:c>
      <x:c r="N46" s="218" t="str">
        <x:f>IF(OR(A46="",I46=0),"",(D46+E46)/I46)</x:f>
      </x:c>
      <x:c r="O46" s="205"/>
      <x:c r="P46" s="218" t="str">
        <x:f>IF(A46="","",N46-O46)</x:f>
      </x:c>
      <x:c r="Q46" s="146" t="str">
        <x:f>IF(A46="","",IF(OR(M46&lt;0,N46&lt;O46,J46&lt;30),"Red",IF(OR(P46&lt;0.15,J46&lt;45),"Amber","Green")))</x:f>
      </x:c>
      <x:c r="R46" s="140"/>
    </x:row>
    <x:row r="47">
      <x:c r="A47" s="155"/>
      <x:c r="B47" s="140"/>
      <x:c r="C47" s="140"/>
      <x:c r="D47" s="164"/>
      <x:c r="E47" s="164"/>
      <x:c r="F47" s="164"/>
      <x:c r="G47" s="164"/>
      <x:c r="H47" s="164"/>
      <x:c r="I47" s="215" t="str">
        <x:f>IF(A47="","",MAX(H47-G47,0))</x:f>
      </x:c>
      <x:c r="J47" s="140"/>
      <x:c r="K47" s="164"/>
      <x:c r="L47" s="215" t="str">
        <x:f>IF(A47="","",D47+E47+F47)</x:f>
      </x:c>
      <x:c r="M47" s="215" t="str">
        <x:f>IF(A47="","",L47-K47)</x:f>
      </x:c>
      <x:c r="N47" s="218" t="str">
        <x:f>IF(OR(A47="",I47=0),"",(D47+E47)/I47)</x:f>
      </x:c>
      <x:c r="O47" s="205"/>
      <x:c r="P47" s="218" t="str">
        <x:f>IF(A47="","",N47-O47)</x:f>
      </x:c>
      <x:c r="Q47" s="146" t="str">
        <x:f>IF(A47="","",IF(OR(M47&lt;0,N47&lt;O47,J47&lt;30),"Red",IF(OR(P47&lt;0.15,J47&lt;45),"Amber","Green")))</x:f>
      </x:c>
      <x:c r="R47" s="140"/>
    </x:row>
    <x:row r="48">
      <x:c r="A48" s="155"/>
      <x:c r="B48" s="140"/>
      <x:c r="C48" s="140"/>
      <x:c r="D48" s="164"/>
      <x:c r="E48" s="164"/>
      <x:c r="F48" s="164"/>
      <x:c r="G48" s="164"/>
      <x:c r="H48" s="164"/>
      <x:c r="I48" s="215" t="str">
        <x:f>IF(A48="","",MAX(H48-G48,0))</x:f>
      </x:c>
      <x:c r="J48" s="140"/>
      <x:c r="K48" s="164"/>
      <x:c r="L48" s="215" t="str">
        <x:f>IF(A48="","",D48+E48+F48)</x:f>
      </x:c>
      <x:c r="M48" s="215" t="str">
        <x:f>IF(A48="","",L48-K48)</x:f>
      </x:c>
      <x:c r="N48" s="218" t="str">
        <x:f>IF(OR(A48="",I48=0),"",(D48+E48)/I48)</x:f>
      </x:c>
      <x:c r="O48" s="205"/>
      <x:c r="P48" s="218" t="str">
        <x:f>IF(A48="","",N48-O48)</x:f>
      </x:c>
      <x:c r="Q48" s="146" t="str">
        <x:f>IF(A48="","",IF(OR(M48&lt;0,N48&lt;O48,J48&lt;30),"Red",IF(OR(P48&lt;0.15,J48&lt;45),"Amber","Green")))</x:f>
      </x:c>
      <x:c r="R48" s="140"/>
    </x:row>
    <x:row r="49">
      <x:c r="A49" s="155"/>
      <x:c r="B49" s="140"/>
      <x:c r="C49" s="140"/>
      <x:c r="D49" s="164"/>
      <x:c r="E49" s="164"/>
      <x:c r="F49" s="164"/>
      <x:c r="G49" s="164"/>
      <x:c r="H49" s="164"/>
      <x:c r="I49" s="215" t="str">
        <x:f>IF(A49="","",MAX(H49-G49,0))</x:f>
      </x:c>
      <x:c r="J49" s="140"/>
      <x:c r="K49" s="164"/>
      <x:c r="L49" s="215" t="str">
        <x:f>IF(A49="","",D49+E49+F49)</x:f>
      </x:c>
      <x:c r="M49" s="215" t="str">
        <x:f>IF(A49="","",L49-K49)</x:f>
      </x:c>
      <x:c r="N49" s="218" t="str">
        <x:f>IF(OR(A49="",I49=0),"",(D49+E49)/I49)</x:f>
      </x:c>
      <x:c r="O49" s="205"/>
      <x:c r="P49" s="218" t="str">
        <x:f>IF(A49="","",N49-O49)</x:f>
      </x:c>
      <x:c r="Q49" s="146" t="str">
        <x:f>IF(A49="","",IF(OR(M49&lt;0,N49&lt;O49,J49&lt;30),"Red",IF(OR(P49&lt;0.15,J49&lt;45),"Amber","Green")))</x:f>
      </x:c>
      <x:c r="R49" s="140"/>
    </x:row>
    <x:row r="50">
      <x:c r="A50" s="155"/>
      <x:c r="B50" s="140"/>
      <x:c r="C50" s="140"/>
      <x:c r="D50" s="164"/>
      <x:c r="E50" s="164"/>
      <x:c r="F50" s="164"/>
      <x:c r="G50" s="164"/>
      <x:c r="H50" s="164"/>
      <x:c r="I50" s="215" t="str">
        <x:f>IF(A50="","",MAX(H50-G50,0))</x:f>
      </x:c>
      <x:c r="J50" s="140"/>
      <x:c r="K50" s="164"/>
      <x:c r="L50" s="215" t="str">
        <x:f>IF(A50="","",D50+E50+F50)</x:f>
      </x:c>
      <x:c r="M50" s="215" t="str">
        <x:f>IF(A50="","",L50-K50)</x:f>
      </x:c>
      <x:c r="N50" s="218" t="str">
        <x:f>IF(OR(A50="",I50=0),"",(D50+E50)/I50)</x:f>
      </x:c>
      <x:c r="O50" s="205"/>
      <x:c r="P50" s="218" t="str">
        <x:f>IF(A50="","",N50-O50)</x:f>
      </x:c>
      <x:c r="Q50" s="146" t="str">
        <x:f>IF(A50="","",IF(OR(M50&lt;0,N50&lt;O50,J50&lt;30),"Red",IF(OR(P50&lt;0.15,J50&lt;45),"Amber","Green")))</x:f>
      </x:c>
      <x:c r="R50" s="140"/>
    </x:row>
    <x:row r="51">
      <x:c r="A51" s="155"/>
      <x:c r="B51" s="140"/>
      <x:c r="C51" s="140"/>
      <x:c r="D51" s="164"/>
      <x:c r="E51" s="164"/>
      <x:c r="F51" s="164"/>
      <x:c r="G51" s="164"/>
      <x:c r="H51" s="164"/>
      <x:c r="I51" s="215" t="str">
        <x:f>IF(A51="","",MAX(H51-G51,0))</x:f>
      </x:c>
      <x:c r="J51" s="140"/>
      <x:c r="K51" s="164"/>
      <x:c r="L51" s="215" t="str">
        <x:f>IF(A51="","",D51+E51+F51)</x:f>
      </x:c>
      <x:c r="M51" s="215" t="str">
        <x:f>IF(A51="","",L51-K51)</x:f>
      </x:c>
      <x:c r="N51" s="218" t="str">
        <x:f>IF(OR(A51="",I51=0),"",(D51+E51)/I51)</x:f>
      </x:c>
      <x:c r="O51" s="205"/>
      <x:c r="P51" s="218" t="str">
        <x:f>IF(A51="","",N51-O51)</x:f>
      </x:c>
      <x:c r="Q51" s="146" t="str">
        <x:f>IF(A51="","",IF(OR(M51&lt;0,N51&lt;O51,J51&lt;30),"Red",IF(OR(P51&lt;0.15,J51&lt;45),"Amber","Green")))</x:f>
      </x:c>
      <x:c r="R51" s="140"/>
    </x:row>
    <x:row r="52">
      <x:c r="A52" s="155"/>
      <x:c r="B52" s="140"/>
      <x:c r="C52" s="140"/>
      <x:c r="D52" s="164"/>
      <x:c r="E52" s="164"/>
      <x:c r="F52" s="164"/>
      <x:c r="G52" s="164"/>
      <x:c r="H52" s="164"/>
      <x:c r="I52" s="215" t="str">
        <x:f>IF(A52="","",MAX(H52-G52,0))</x:f>
      </x:c>
      <x:c r="J52" s="140"/>
      <x:c r="K52" s="164"/>
      <x:c r="L52" s="215" t="str">
        <x:f>IF(A52="","",D52+E52+F52)</x:f>
      </x:c>
      <x:c r="M52" s="215" t="str">
        <x:f>IF(A52="","",L52-K52)</x:f>
      </x:c>
      <x:c r="N52" s="218" t="str">
        <x:f>IF(OR(A52="",I52=0),"",(D52+E52)/I52)</x:f>
      </x:c>
      <x:c r="O52" s="205"/>
      <x:c r="P52" s="218" t="str">
        <x:f>IF(A52="","",N52-O52)</x:f>
      </x:c>
      <x:c r="Q52" s="146" t="str">
        <x:f>IF(A52="","",IF(OR(M52&lt;0,N52&lt;O52,J52&lt;30),"Red",IF(OR(P52&lt;0.15,J52&lt;45),"Amber","Green")))</x:f>
      </x:c>
      <x:c r="R52" s="140"/>
    </x:row>
    <x:row r="53">
      <x:c r="A53" s="155"/>
      <x:c r="B53" s="140"/>
      <x:c r="C53" s="140"/>
      <x:c r="D53" s="164"/>
      <x:c r="E53" s="164"/>
      <x:c r="F53" s="164"/>
      <x:c r="G53" s="164"/>
      <x:c r="H53" s="164"/>
      <x:c r="I53" s="215" t="str">
        <x:f>IF(A53="","",MAX(H53-G53,0))</x:f>
      </x:c>
      <x:c r="J53" s="140"/>
      <x:c r="K53" s="164"/>
      <x:c r="L53" s="215" t="str">
        <x:f>IF(A53="","",D53+E53+F53)</x:f>
      </x:c>
      <x:c r="M53" s="215" t="str">
        <x:f>IF(A53="","",L53-K53)</x:f>
      </x:c>
      <x:c r="N53" s="218" t="str">
        <x:f>IF(OR(A53="",I53=0),"",(D53+E53)/I53)</x:f>
      </x:c>
      <x:c r="O53" s="205"/>
      <x:c r="P53" s="218" t="str">
        <x:f>IF(A53="","",N53-O53)</x:f>
      </x:c>
      <x:c r="Q53" s="146" t="str">
        <x:f>IF(A53="","",IF(OR(M53&lt;0,N53&lt;O53,J53&lt;30),"Red",IF(OR(P53&lt;0.15,J53&lt;45),"Amber","Green")))</x:f>
      </x:c>
      <x:c r="R53" s="140"/>
    </x:row>
    <x:row r="54">
      <x:c r="A54" s="155"/>
      <x:c r="B54" s="140"/>
      <x:c r="C54" s="140"/>
      <x:c r="D54" s="164"/>
      <x:c r="E54" s="164"/>
      <x:c r="F54" s="164"/>
      <x:c r="G54" s="164"/>
      <x:c r="H54" s="164"/>
      <x:c r="I54" s="215" t="str">
        <x:f>IF(A54="","",MAX(H54-G54,0))</x:f>
      </x:c>
      <x:c r="J54" s="140"/>
      <x:c r="K54" s="164"/>
      <x:c r="L54" s="215" t="str">
        <x:f>IF(A54="","",D54+E54+F54)</x:f>
      </x:c>
      <x:c r="M54" s="215" t="str">
        <x:f>IF(A54="","",L54-K54)</x:f>
      </x:c>
      <x:c r="N54" s="218" t="str">
        <x:f>IF(OR(A54="",I54=0),"",(D54+E54)/I54)</x:f>
      </x:c>
      <x:c r="O54" s="205"/>
      <x:c r="P54" s="218" t="str">
        <x:f>IF(A54="","",N54-O54)</x:f>
      </x:c>
      <x:c r="Q54" s="146" t="str">
        <x:f>IF(A54="","",IF(OR(M54&lt;0,N54&lt;O54,J54&lt;30),"Red",IF(OR(P54&lt;0.15,J54&lt;45),"Amber","Green")))</x:f>
      </x:c>
      <x:c r="R54" s="140"/>
    </x:row>
    <x:row r="55">
      <x:c r="A55" s="155"/>
      <x:c r="B55" s="140"/>
      <x:c r="C55" s="140"/>
      <x:c r="D55" s="164"/>
      <x:c r="E55" s="164"/>
      <x:c r="F55" s="164"/>
      <x:c r="G55" s="164"/>
      <x:c r="H55" s="164"/>
      <x:c r="I55" s="215" t="str">
        <x:f>IF(A55="","",MAX(H55-G55,0))</x:f>
      </x:c>
      <x:c r="J55" s="140"/>
      <x:c r="K55" s="164"/>
      <x:c r="L55" s="215" t="str">
        <x:f>IF(A55="","",D55+E55+F55)</x:f>
      </x:c>
      <x:c r="M55" s="215" t="str">
        <x:f>IF(A55="","",L55-K55)</x:f>
      </x:c>
      <x:c r="N55" s="218" t="str">
        <x:f>IF(OR(A55="",I55=0),"",(D55+E55)/I55)</x:f>
      </x:c>
      <x:c r="O55" s="205"/>
      <x:c r="P55" s="218" t="str">
        <x:f>IF(A55="","",N55-O55)</x:f>
      </x:c>
      <x:c r="Q55" s="146" t="str">
        <x:f>IF(A55="","",IF(OR(M55&lt;0,N55&lt;O55,J55&lt;30),"Red",IF(OR(P55&lt;0.15,J55&lt;45),"Amber","Green")))</x:f>
      </x:c>
      <x:c r="R55" s="140"/>
    </x:row>
    <x:row r="56">
      <x:c r="A56" s="155"/>
      <x:c r="B56" s="140"/>
      <x:c r="C56" s="140"/>
      <x:c r="D56" s="164"/>
      <x:c r="E56" s="164"/>
      <x:c r="F56" s="164"/>
      <x:c r="G56" s="164"/>
      <x:c r="H56" s="164"/>
      <x:c r="I56" s="215" t="str">
        <x:f>IF(A56="","",MAX(H56-G56,0))</x:f>
      </x:c>
      <x:c r="J56" s="140"/>
      <x:c r="K56" s="164"/>
      <x:c r="L56" s="215" t="str">
        <x:f>IF(A56="","",D56+E56+F56)</x:f>
      </x:c>
      <x:c r="M56" s="215" t="str">
        <x:f>IF(A56="","",L56-K56)</x:f>
      </x:c>
      <x:c r="N56" s="218" t="str">
        <x:f>IF(OR(A56="",I56=0),"",(D56+E56)/I56)</x:f>
      </x:c>
      <x:c r="O56" s="205"/>
      <x:c r="P56" s="218" t="str">
        <x:f>IF(A56="","",N56-O56)</x:f>
      </x:c>
      <x:c r="Q56" s="146" t="str">
        <x:f>IF(A56="","",IF(OR(M56&lt;0,N56&lt;O56,J56&lt;30),"Red",IF(OR(P56&lt;0.15,J56&lt;45),"Amber","Green")))</x:f>
      </x:c>
      <x:c r="R56" s="140"/>
    </x:row>
    <x:row r="57">
      <x:c r="A57" s="155"/>
      <x:c r="B57" s="140"/>
      <x:c r="C57" s="140"/>
      <x:c r="D57" s="164"/>
      <x:c r="E57" s="164"/>
      <x:c r="F57" s="164"/>
      <x:c r="G57" s="164"/>
      <x:c r="H57" s="164"/>
      <x:c r="I57" s="215" t="str">
        <x:f>IF(A57="","",MAX(H57-G57,0))</x:f>
      </x:c>
      <x:c r="J57" s="140"/>
      <x:c r="K57" s="164"/>
      <x:c r="L57" s="215" t="str">
        <x:f>IF(A57="","",D57+E57+F57)</x:f>
      </x:c>
      <x:c r="M57" s="215" t="str">
        <x:f>IF(A57="","",L57-K57)</x:f>
      </x:c>
      <x:c r="N57" s="218" t="str">
        <x:f>IF(OR(A57="",I57=0),"",(D57+E57)/I57)</x:f>
      </x:c>
      <x:c r="O57" s="205"/>
      <x:c r="P57" s="218" t="str">
        <x:f>IF(A57="","",N57-O57)</x:f>
      </x:c>
      <x:c r="Q57" s="146" t="str">
        <x:f>IF(A57="","",IF(OR(M57&lt;0,N57&lt;O57,J57&lt;30),"Red",IF(OR(P57&lt;0.15,J57&lt;45),"Amber","Green")))</x:f>
      </x:c>
      <x:c r="R57" s="140"/>
    </x:row>
    <x:row r="58">
      <x:c r="A58" s="155"/>
      <x:c r="B58" s="140"/>
      <x:c r="C58" s="140"/>
      <x:c r="D58" s="164"/>
      <x:c r="E58" s="164"/>
      <x:c r="F58" s="164"/>
      <x:c r="G58" s="164"/>
      <x:c r="H58" s="164"/>
      <x:c r="I58" s="215" t="str">
        <x:f>IF(A58="","",MAX(H58-G58,0))</x:f>
      </x:c>
      <x:c r="J58" s="140"/>
      <x:c r="K58" s="164"/>
      <x:c r="L58" s="215" t="str">
        <x:f>IF(A58="","",D58+E58+F58)</x:f>
      </x:c>
      <x:c r="M58" s="215" t="str">
        <x:f>IF(A58="","",L58-K58)</x:f>
      </x:c>
      <x:c r="N58" s="218" t="str">
        <x:f>IF(OR(A58="",I58=0),"",(D58+E58)/I58)</x:f>
      </x:c>
      <x:c r="O58" s="205"/>
      <x:c r="P58" s="218" t="str">
        <x:f>IF(A58="","",N58-O58)</x:f>
      </x:c>
      <x:c r="Q58" s="146" t="str">
        <x:f>IF(A58="","",IF(OR(M58&lt;0,N58&lt;O58,J58&lt;30),"Red",IF(OR(P58&lt;0.15,J58&lt;45),"Amber","Green")))</x:f>
      </x:c>
      <x:c r="R58" s="140"/>
    </x:row>
    <x:row r="59">
      <x:c r="A59" s="155"/>
      <x:c r="B59" s="140"/>
      <x:c r="C59" s="140"/>
      <x:c r="D59" s="164"/>
      <x:c r="E59" s="164"/>
      <x:c r="F59" s="164"/>
      <x:c r="G59" s="164"/>
      <x:c r="H59" s="164"/>
      <x:c r="I59" s="215" t="str">
        <x:f>IF(A59="","",MAX(H59-G59,0))</x:f>
      </x:c>
      <x:c r="J59" s="140"/>
      <x:c r="K59" s="164"/>
      <x:c r="L59" s="215" t="str">
        <x:f>IF(A59="","",D59+E59+F59)</x:f>
      </x:c>
      <x:c r="M59" s="215" t="str">
        <x:f>IF(A59="","",L59-K59)</x:f>
      </x:c>
      <x:c r="N59" s="218" t="str">
        <x:f>IF(OR(A59="",I59=0),"",(D59+E59)/I59)</x:f>
      </x:c>
      <x:c r="O59" s="205"/>
      <x:c r="P59" s="218" t="str">
        <x:f>IF(A59="","",N59-O59)</x:f>
      </x:c>
      <x:c r="Q59" s="146" t="str">
        <x:f>IF(A59="","",IF(OR(M59&lt;0,N59&lt;O59,J59&lt;30),"Red",IF(OR(P59&lt;0.15,J59&lt;45),"Amber","Green")))</x:f>
      </x:c>
      <x:c r="R59" s="140"/>
    </x:row>
    <x:row r="60">
      <x:c r="A60" s="155"/>
      <x:c r="B60" s="140"/>
      <x:c r="C60" s="140"/>
      <x:c r="D60" s="164"/>
      <x:c r="E60" s="164"/>
      <x:c r="F60" s="164"/>
      <x:c r="G60" s="164"/>
      <x:c r="H60" s="164"/>
      <x:c r="I60" s="215" t="str">
        <x:f>IF(A60="","",MAX(H60-G60,0))</x:f>
      </x:c>
      <x:c r="J60" s="140"/>
      <x:c r="K60" s="164"/>
      <x:c r="L60" s="215" t="str">
        <x:f>IF(A60="","",D60+E60+F60)</x:f>
      </x:c>
      <x:c r="M60" s="215" t="str">
        <x:f>IF(A60="","",L60-K60)</x:f>
      </x:c>
      <x:c r="N60" s="218" t="str">
        <x:f>IF(OR(A60="",I60=0),"",(D60+E60)/I60)</x:f>
      </x:c>
      <x:c r="O60" s="205"/>
      <x:c r="P60" s="218" t="str">
        <x:f>IF(A60="","",N60-O60)</x:f>
      </x:c>
      <x:c r="Q60" s="146" t="str">
        <x:f>IF(A60="","",IF(OR(M60&lt;0,N60&lt;O60,J60&lt;30),"Red",IF(OR(P60&lt;0.15,J60&lt;45),"Amber","Green")))</x:f>
      </x:c>
      <x:c r="R60" s="140"/>
    </x:row>
    <x:row r="61">
      <x:c r="A61" s="155"/>
      <x:c r="B61" s="140"/>
      <x:c r="C61" s="140"/>
      <x:c r="D61" s="164"/>
      <x:c r="E61" s="164"/>
      <x:c r="F61" s="164"/>
      <x:c r="G61" s="164"/>
      <x:c r="H61" s="164"/>
      <x:c r="I61" s="215" t="str">
        <x:f>IF(A61="","",MAX(H61-G61,0))</x:f>
      </x:c>
      <x:c r="J61" s="140"/>
      <x:c r="K61" s="164"/>
      <x:c r="L61" s="215" t="str">
        <x:f>IF(A61="","",D61+E61+F61)</x:f>
      </x:c>
      <x:c r="M61" s="215" t="str">
        <x:f>IF(A61="","",L61-K61)</x:f>
      </x:c>
      <x:c r="N61" s="218" t="str">
        <x:f>IF(OR(A61="",I61=0),"",(D61+E61)/I61)</x:f>
      </x:c>
      <x:c r="O61" s="205"/>
      <x:c r="P61" s="218" t="str">
        <x:f>IF(A61="","",N61-O61)</x:f>
      </x:c>
      <x:c r="Q61" s="146" t="str">
        <x:f>IF(A61="","",IF(OR(M61&lt;0,N61&lt;O61,J61&lt;30),"Red",IF(OR(P61&lt;0.15,J61&lt;45),"Amber","Green")))</x:f>
      </x:c>
      <x:c r="R61" s="140"/>
    </x:row>
    <x:row r="62">
      <x:c r="A62" s="155"/>
      <x:c r="B62" s="140"/>
      <x:c r="C62" s="140"/>
      <x:c r="D62" s="164"/>
      <x:c r="E62" s="164"/>
      <x:c r="F62" s="164"/>
      <x:c r="G62" s="164"/>
      <x:c r="H62" s="164"/>
      <x:c r="I62" s="215" t="str">
        <x:f>IF(A62="","",MAX(H62-G62,0))</x:f>
      </x:c>
      <x:c r="J62" s="140"/>
      <x:c r="K62" s="164"/>
      <x:c r="L62" s="215" t="str">
        <x:f>IF(A62="","",D62+E62+F62)</x:f>
      </x:c>
      <x:c r="M62" s="215" t="str">
        <x:f>IF(A62="","",L62-K62)</x:f>
      </x:c>
      <x:c r="N62" s="218" t="str">
        <x:f>IF(OR(A62="",I62=0),"",(D62+E62)/I62)</x:f>
      </x:c>
      <x:c r="O62" s="205"/>
      <x:c r="P62" s="218" t="str">
        <x:f>IF(A62="","",N62-O62)</x:f>
      </x:c>
      <x:c r="Q62" s="146" t="str">
        <x:f>IF(A62="","",IF(OR(M62&lt;0,N62&lt;O62,J62&lt;30),"Red",IF(OR(P62&lt;0.15,J62&lt;45),"Amber","Green")))</x:f>
      </x:c>
      <x:c r="R62" s="140"/>
    </x:row>
    <x:row r="63">
      <x:c r="A63" s="155"/>
      <x:c r="B63" s="140"/>
      <x:c r="C63" s="140"/>
      <x:c r="D63" s="164"/>
      <x:c r="E63" s="164"/>
      <x:c r="F63" s="164"/>
      <x:c r="G63" s="164"/>
      <x:c r="H63" s="164"/>
      <x:c r="I63" s="215" t="str">
        <x:f>IF(A63="","",MAX(H63-G63,0))</x:f>
      </x:c>
      <x:c r="J63" s="140"/>
      <x:c r="K63" s="164"/>
      <x:c r="L63" s="215" t="str">
        <x:f>IF(A63="","",D63+E63+F63)</x:f>
      </x:c>
      <x:c r="M63" s="215" t="str">
        <x:f>IF(A63="","",L63-K63)</x:f>
      </x:c>
      <x:c r="N63" s="218" t="str">
        <x:f>IF(OR(A63="",I63=0),"",(D63+E63)/I63)</x:f>
      </x:c>
      <x:c r="O63" s="205"/>
      <x:c r="P63" s="218" t="str">
        <x:f>IF(A63="","",N63-O63)</x:f>
      </x:c>
      <x:c r="Q63" s="146" t="str">
        <x:f>IF(A63="","",IF(OR(M63&lt;0,N63&lt;O63,J63&lt;30),"Red",IF(OR(P63&lt;0.15,J63&lt;45),"Amber","Green")))</x:f>
      </x:c>
      <x:c r="R63" s="140"/>
    </x:row>
    <x:row r="64">
      <x:c r="A64" s="155"/>
      <x:c r="B64" s="140"/>
      <x:c r="C64" s="140"/>
      <x:c r="D64" s="164"/>
      <x:c r="E64" s="164"/>
      <x:c r="F64" s="164"/>
      <x:c r="G64" s="164"/>
      <x:c r="H64" s="164"/>
      <x:c r="I64" s="215" t="str">
        <x:f>IF(A64="","",MAX(H64-G64,0))</x:f>
      </x:c>
      <x:c r="J64" s="140"/>
      <x:c r="K64" s="164"/>
      <x:c r="L64" s="215" t="str">
        <x:f>IF(A64="","",D64+E64+F64)</x:f>
      </x:c>
      <x:c r="M64" s="215" t="str">
        <x:f>IF(A64="","",L64-K64)</x:f>
      </x:c>
      <x:c r="N64" s="218" t="str">
        <x:f>IF(OR(A64="",I64=0),"",(D64+E64)/I64)</x:f>
      </x:c>
      <x:c r="O64" s="205"/>
      <x:c r="P64" s="218" t="str">
        <x:f>IF(A64="","",N64-O64)</x:f>
      </x:c>
      <x:c r="Q64" s="146" t="str">
        <x:f>IF(A64="","",IF(OR(M64&lt;0,N64&lt;O64,J64&lt;30),"Red",IF(OR(P64&lt;0.15,J64&lt;45),"Amber","Green")))</x:f>
      </x:c>
      <x:c r="R64" s="140"/>
    </x:row>
    <x:row r="65">
      <x:c r="A65" s="156"/>
      <x:c r="B65" s="141"/>
      <x:c r="C65" s="141"/>
      <x:c r="D65" s="165"/>
      <x:c r="E65" s="165"/>
      <x:c r="F65" s="165"/>
      <x:c r="G65" s="165"/>
      <x:c r="H65" s="165"/>
      <x:c r="I65" s="216" t="str">
        <x:f>IF(A65="","",MAX(H65-G65,0))</x:f>
      </x:c>
      <x:c r="J65" s="141"/>
      <x:c r="K65" s="165"/>
      <x:c r="L65" s="216" t="str">
        <x:f>IF(A65="","",D65+E65+F65)</x:f>
      </x:c>
      <x:c r="M65" s="216" t="str">
        <x:f>IF(A65="","",L65-K65)</x:f>
      </x:c>
      <x:c r="N65" s="219" t="str">
        <x:f>IF(OR(A65="",I65=0),"",(D65+E65)/I65)</x:f>
      </x:c>
      <x:c r="O65" s="224"/>
      <x:c r="P65" s="219" t="str">
        <x:f>IF(A65="","",N65-O65)</x:f>
      </x:c>
      <x:c r="Q65" s="147" t="str">
        <x:f>IF(A65="","",IF(OR(M65&lt;0,N65&lt;O65,J65&lt;30),"Red",IF(OR(P65&lt;0.15,J65&lt;45),"Amber","Green")))</x:f>
      </x:c>
      <x:c r="R65" s="141"/>
    </x:row>
  </x:sheetData>
  <x:mergeCells>
    <x:mergeCell ref="A1:R1"/>
    <x:mergeCell ref="A2:R2"/>
  </x:mergeCells>
  <x:conditionalFormatting sqref="Q6:Q65">
    <x:cfRule type="containsText" dxfId="20" priority="1" operator="containsText" text="Red"/>
    <x:cfRule type="containsText" dxfId="21" priority="2" operator="containsText" text="Amber"/>
    <x:cfRule type="containsText" dxfId="22" priority="3" operator="containsText" text="Green"/>
  </x:conditionalFormatting>
  <x:conditionalFormatting sqref="M6:M65">
    <x:cfRule type="dataBar" priority="4">
      <x:dataBar>
        <x:cfvo type="min"/>
        <x:cfvo type="max"/>
        <x:color rgb="FF117E78"/>
      </x:dataBar>
      <x:extLst>
        <x:ext xmlns:x14="http://schemas.microsoft.com/office/spreadsheetml/2009/9/main" uri="{B025F937-C7B1-47D3-B67F-A62EFF666E3E}">
          <x14:id>{9E2ED1CA-63C3-82B1-8985-05A1DBD60E5A}</x14:id>
        </x:ext>
      </x:extLst>
    </x:cfRule>
  </x:conditionalFormatting>
  <x:pageMargins left="0.7" right="0.7" top="0.75" bottom="0.75" header="0.3" footer="0.3"/>
  <x:drawing xmlns:r="http://schemas.openxmlformats.org/officeDocument/2006/relationships" r:id="R3814450183d044d9"/>
  <x:tableParts count="1">
    <x:tablePart xmlns:r="http://schemas.openxmlformats.org/officeDocument/2006/relationships" r:id="R73f51001a5734aca"/>
  </x:tableParts>
  <x:extLst>
    <x:ext xmlns:x14="http://schemas.microsoft.com/office/spreadsheetml/2009/9/main" xmlns:xm="http://schemas.microsoft.com/office/excel/2006/main" uri="{78C0D931-6437-407d-A8EE-F0AAD7539E65}">
      <x14:conditionalFormattings>
        <x14:conditionalFormatting>
          <x14:cfRule type="dataBar" priority="4" id="{9E2ED1CA-63C3-82B1-8985-05A1DBD60E5A}">
            <x14:dataBar gradient="1">
              <x14:cfvo type="min"/>
              <x14:cfvo type="max"/>
              <x14:fillColor rgb="FF117E78"/>
            </x14:dataBar>
          </x14:cfRule>
          <xm:sqref>M6:M65</xm:sqref>
        </x14:conditionalFormatting>
      </x14:conditionalFormattings>
    </x:ext>
  </x:extLst>
</x:worksheet>
</file>

<file path=xl/worksheets/sheet8.xml><?xml version="1.0" encoding="utf-8"?>
<x:worksheet xmlns:x="http://schemas.openxmlformats.org/spreadsheetml/2006/main">
  <x:sheetViews>
    <x:sheetView showGridLines="0" workbookViewId="0"/>
  </x:sheetViews>
  <x:sheetFormatPr defaultRowHeight="15"/>
  <x:cols>
    <x:col min="1" max="1" width="10"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 min="17" max="17" width="10" hidden="0" customWidth="1"/>
    <x:col min="18" max="18" width="10" hidden="0" customWidth="1"/>
    <x:col min="19" max="19" width="10" hidden="0" customWidth="1"/>
    <x:col min="20" max="20" width="10" hidden="0" customWidth="1"/>
    <x:col min="21" max="21" width="10" hidden="0" customWidth="1"/>
  </x:cols>
  <x:sheetData>
    <x:row r="1" ht="34" customHeight="1">
      <x:c r="A1" s="260" t="str">
        <x:v>Executive Risk Dashboard</x:v>
      </x:c>
      <x:c r="B1" s="260" t="str">
        <x:v>Executive Risk Dashboard</x:v>
      </x:c>
      <x:c r="C1" s="260" t="str">
        <x:v>Executive Risk Dashboard</x:v>
      </x:c>
      <x:c r="D1" s="260" t="str">
        <x:v>Executive Risk Dashboard</x:v>
      </x:c>
      <x:c r="E1" s="260" t="str">
        <x:v>Executive Risk Dashboard</x:v>
      </x:c>
      <x:c r="F1" s="260" t="str">
        <x:v>Executive Risk Dashboard</x:v>
      </x:c>
      <x:c r="G1" s="260" t="str">
        <x:v>Executive Risk Dashboard</x:v>
      </x:c>
      <x:c r="H1" s="260" t="str">
        <x:v>Executive Risk Dashboard</x:v>
      </x:c>
      <x:c r="I1" s="260" t="str">
        <x:v>Executive Risk Dashboard</x:v>
      </x:c>
      <x:c r="J1" s="260" t="str">
        <x:v>Executive Risk Dashboard</x:v>
      </x:c>
      <x:c r="K1" s="260" t="str">
        <x:v>Executive Risk Dashboard</x:v>
      </x:c>
      <x:c r="L1" s="260" t="str">
        <x:v>Executive Risk Dashboard</x:v>
      </x:c>
      <x:c r="M1" s="260" t="str">
        <x:v>Executive Risk Dashboard</x:v>
      </x:c>
      <x:c r="N1" s="260" t="str">
        <x:v>Executive Risk Dashboard</x:v>
      </x:c>
      <x:c r="O1" s="260" t="str">
        <x:v>Executive Risk Dashboard</x:v>
      </x:c>
      <x:c r="P1" s="260" t="str">
        <x:v>Executive Risk Dashboard</x:v>
      </x:c>
      <x:c r="Q1" s="260" t="str">
        <x:v>Executive Risk Dashboard</x:v>
      </x:c>
      <x:c r="R1" s="260" t="str">
        <x:v>Executive Risk Dashboard</x:v>
      </x:c>
      <x:c r="S1" s="260" t="str">
        <x:v>Executive Risk Dashboard</x:v>
      </x:c>
      <x:c r="T1" s="260" t="str">
        <x:v>Executive Risk Dashboard</x:v>
      </x:c>
      <x:c r="U1" s="260" t="str">
        <x:v>Executive Risk Dashboard</x:v>
      </x:c>
    </x:row>
    <x:row r="2" ht="34" customHeight="1">
      <x:c r="A2" s="264" t="str">
        <x:v>Board / ExCo view linked to the Risk Register, Incident Report and Credit Monitoring sheets. Investigate every material exception and evidence decisions, owners and closure criteria.</x:v>
      </x:c>
      <x:c r="B2" s="264" t="str">
        <x:v>Board / ExCo view linked to the Risk Register, Incident Report and Credit Monitoring sheets. Investigate every material exception and evidence decisions, owners and closure criteria.</x:v>
      </x:c>
      <x:c r="C2" s="264" t="str">
        <x:v>Board / ExCo view linked to the Risk Register, Incident Report and Credit Monitoring sheets. Investigate every material exception and evidence decisions, owners and closure criteria.</x:v>
      </x:c>
      <x:c r="D2" s="264" t="str">
        <x:v>Board / ExCo view linked to the Risk Register, Incident Report and Credit Monitoring sheets. Investigate every material exception and evidence decisions, owners and closure criteria.</x:v>
      </x:c>
      <x:c r="E2" s="264" t="str">
        <x:v>Board / ExCo view linked to the Risk Register, Incident Report and Credit Monitoring sheets. Investigate every material exception and evidence decisions, owners and closure criteria.</x:v>
      </x:c>
      <x:c r="F2" s="264" t="str">
        <x:v>Board / ExCo view linked to the Risk Register, Incident Report and Credit Monitoring sheets. Investigate every material exception and evidence decisions, owners and closure criteria.</x:v>
      </x:c>
      <x:c r="G2" s="264" t="str">
        <x:v>Board / ExCo view linked to the Risk Register, Incident Report and Credit Monitoring sheets. Investigate every material exception and evidence decisions, owners and closure criteria.</x:v>
      </x:c>
      <x:c r="H2" s="264" t="str">
        <x:v>Board / ExCo view linked to the Risk Register, Incident Report and Credit Monitoring sheets. Investigate every material exception and evidence decisions, owners and closure criteria.</x:v>
      </x:c>
      <x:c r="I2" s="264" t="str">
        <x:v>Board / ExCo view linked to the Risk Register, Incident Report and Credit Monitoring sheets. Investigate every material exception and evidence decisions, owners and closure criteria.</x:v>
      </x:c>
      <x:c r="J2" s="264" t="str">
        <x:v>Board / ExCo view linked to the Risk Register, Incident Report and Credit Monitoring sheets. Investigate every material exception and evidence decisions, owners and closure criteria.</x:v>
      </x:c>
      <x:c r="K2" s="264" t="str">
        <x:v>Board / ExCo view linked to the Risk Register, Incident Report and Credit Monitoring sheets. Investigate every material exception and evidence decisions, owners and closure criteria.</x:v>
      </x:c>
      <x:c r="L2" s="264" t="str">
        <x:v>Board / ExCo view linked to the Risk Register, Incident Report and Credit Monitoring sheets. Investigate every material exception and evidence decisions, owners and closure criteria.</x:v>
      </x:c>
      <x:c r="M2" s="264" t="str">
        <x:v>Board / ExCo view linked to the Risk Register, Incident Report and Credit Monitoring sheets. Investigate every material exception and evidence decisions, owners and closure criteria.</x:v>
      </x:c>
      <x:c r="N2" s="264" t="str">
        <x:v>Board / ExCo view linked to the Risk Register, Incident Report and Credit Monitoring sheets. Investigate every material exception and evidence decisions, owners and closure criteria.</x:v>
      </x:c>
      <x:c r="O2" s="264" t="str">
        <x:v>Board / ExCo view linked to the Risk Register, Incident Report and Credit Monitoring sheets. Investigate every material exception and evidence decisions, owners and closure criteria.</x:v>
      </x:c>
      <x:c r="P2" s="264" t="str">
        <x:v>Board / ExCo view linked to the Risk Register, Incident Report and Credit Monitoring sheets. Investigate every material exception and evidence decisions, owners and closure criteria.</x:v>
      </x:c>
      <x:c r="Q2" s="264" t="str">
        <x:v>Board / ExCo view linked to the Risk Register, Incident Report and Credit Monitoring sheets. Investigate every material exception and evidence decisions, owners and closure criteria.</x:v>
      </x:c>
      <x:c r="R2" s="264" t="str">
        <x:v>Board / ExCo view linked to the Risk Register, Incident Report and Credit Monitoring sheets. Investigate every material exception and evidence decisions, owners and closure criteria.</x:v>
      </x:c>
      <x:c r="S2" s="264" t="str">
        <x:v>Board / ExCo view linked to the Risk Register, Incident Report and Credit Monitoring sheets. Investigate every material exception and evidence decisions, owners and closure criteria.</x:v>
      </x:c>
      <x:c r="T2" s="264" t="str">
        <x:v>Board / ExCo view linked to the Risk Register, Incident Report and Credit Monitoring sheets. Investigate every material exception and evidence decisions, owners and closure criteria.</x:v>
      </x:c>
      <x:c r="U2" s="264" t="str">
        <x:v>Board / ExCo view linked to the Risk Register, Incident Report and Credit Monitoring sheets. Investigate every material exception and evidence decisions, owners and closure criteria.</x:v>
      </x:c>
    </x:row>
    <x:row r="3" ht="20" customHeight="1"/>
    <x:row r="4" ht="20" customHeight="1">
      <x:c r="A4" s="395" t="str">
        <x:v>OPEN RISKS</x:v>
      </x:c>
      <x:c r="B4" s="396" t="str">
        <x:v>OPEN RISKS</x:v>
      </x:c>
      <x:c r="C4" s="397" t="str">
        <x:v>OPEN RISKS</x:v>
      </x:c>
      <x:c r="D4" s="433" t="str">
        <x:v>HIGH / SEVERE</x:v>
      </x:c>
      <x:c r="E4" s="434" t="str">
        <x:v>HIGH / SEVERE</x:v>
      </x:c>
      <x:c r="F4" s="435" t="str">
        <x:v>HIGH / SEVERE</x:v>
      </x:c>
      <x:c r="G4" s="471" t="str">
        <x:v>APPETITE BREACHES</x:v>
      </x:c>
      <x:c r="H4" s="472" t="str">
        <x:v>APPETITE BREACHES</x:v>
      </x:c>
      <x:c r="I4" s="473" t="str">
        <x:v>APPETITE BREACHES</x:v>
      </x:c>
      <x:c r="J4" s="395" t="str">
        <x:v>OPEN INCIDENTS</x:v>
      </x:c>
      <x:c r="K4" s="396" t="str">
        <x:v>OPEN INCIDENTS</x:v>
      </x:c>
      <x:c r="L4" s="397" t="str">
        <x:v>OPEN INCIDENTS</x:v>
      </x:c>
      <x:c r="M4" s="509" t="str">
        <x:v>OVERDUE ACTIONS</x:v>
      </x:c>
      <x:c r="N4" s="510" t="str">
        <x:v>OVERDUE ACTIONS</x:v>
      </x:c>
      <x:c r="O4" s="511" t="str">
        <x:v>OVERDUE ACTIONS</x:v>
      </x:c>
      <x:c r="P4" s="433" t="str">
        <x:v>WATCHLIST NAMES</x:v>
      </x:c>
      <x:c r="Q4" s="434" t="str">
        <x:v>WATCHLIST NAMES</x:v>
      </x:c>
      <x:c r="R4" s="435" t="str">
        <x:v>WATCHLIST NAMES</x:v>
      </x:c>
    </x:row>
    <x:row r="5" ht="20" customHeight="1">
      <x:c r="A5" s="417" t="n">
        <x:f>COUNTIFS('Risk Register'!$A$8:$A$207,"&lt;&gt;",'Risk Register'!$S$8:$S$207,"&lt;&gt;Closed")</x:f>
        <x:v>5</x:v>
      </x:c>
      <x:c r="B5" s="418"/>
      <x:c r="C5" s="419"/>
      <x:c r="D5" s="455" t="n">
        <x:f>COUNTIF('Risk Register'!$N$8:$N$207,"&gt;=10")</x:f>
        <x:v>2</x:v>
      </x:c>
      <x:c r="E5" s="456"/>
      <x:c r="F5" s="457"/>
      <x:c r="G5" s="493" t="n">
        <x:f>COUNTIF('Risk Register'!$O$8:$O$207,"Breached")</x:f>
        <x:v>1</x:v>
      </x:c>
      <x:c r="H5" s="494"/>
      <x:c r="I5" s="495"/>
      <x:c r="J5" s="417" t="n">
        <x:f>COUNTIFS('Incident Report'!$A$8:$A$207,"&lt;&gt;",'Incident Report'!$M$8:$M$207,"&lt;&gt;Closed")</x:f>
        <x:v>3</x:v>
      </x:c>
      <x:c r="K5" s="418"/>
      <x:c r="L5" s="419"/>
      <x:c r="M5" s="531" t="n">
        <x:f>COUNTIFS('Risk Register'!$A$8:$A$207,"&lt;&gt;",'Risk Register'!$R$8:$R$207,"&lt;"&amp;TODAY(),'Risk Register'!$S$8:$S$207,"&lt;&gt;Closed")</x:f>
        <x:v>0</x:v>
      </x:c>
      <x:c r="N5" s="532"/>
      <x:c r="O5" s="533"/>
      <x:c r="P5" s="455" t="n">
        <x:f>COUNTIF('Credit Monitoring'!$Q$8:$Q$207,"Yes")</x:f>
        <x:v>2</x:v>
      </x:c>
      <x:c r="Q5" s="456"/>
      <x:c r="R5" s="457"/>
    </x:row>
    <x:row r="6" ht="20" customHeight="1">
      <x:c r="A6" s="420"/>
      <x:c r="B6" s="421"/>
      <x:c r="C6" s="422"/>
      <x:c r="D6" s="458"/>
      <x:c r="E6" s="459"/>
      <x:c r="F6" s="460"/>
      <x:c r="G6" s="496"/>
      <x:c r="H6" s="497"/>
      <x:c r="I6" s="498"/>
      <x:c r="J6" s="420"/>
      <x:c r="K6" s="421"/>
      <x:c r="L6" s="422"/>
      <x:c r="M6" s="534"/>
      <x:c r="N6" s="535"/>
      <x:c r="O6" s="536"/>
      <x:c r="P6" s="458"/>
      <x:c r="Q6" s="459"/>
      <x:c r="R6" s="460"/>
    </x:row>
    <x:row r="7" ht="20" customHeight="1">
      <x:c r="A7" s="423"/>
      <x:c r="B7" s="424"/>
      <x:c r="C7" s="425"/>
      <x:c r="D7" s="461"/>
      <x:c r="E7" s="462"/>
      <x:c r="F7" s="463"/>
      <x:c r="G7" s="499"/>
      <x:c r="H7" s="500"/>
      <x:c r="I7" s="501"/>
      <x:c r="J7" s="423"/>
      <x:c r="K7" s="424"/>
      <x:c r="L7" s="425"/>
      <x:c r="M7" s="537"/>
      <x:c r="N7" s="538"/>
      <x:c r="O7" s="539"/>
      <x:c r="P7" s="461"/>
      <x:c r="Q7" s="462"/>
      <x:c r="R7" s="463"/>
    </x:row>
    <x:row r="8" ht="20" customHeight="1">
      <x:c r="A8"/>
      <x:c r="B8"/>
      <x:c r="C8"/>
      <x:c r="E8"/>
      <x:c r="F8"/>
      <x:c r="G8"/>
      <x:c r="I8"/>
      <x:c r="J8"/>
      <x:c r="K8"/>
    </x:row>
    <x:row r="9" ht="20" customHeight="1">
      <x:c r="A9"/>
      <x:c r="B9"/>
      <x:c r="C9"/>
      <x:c r="E9"/>
      <x:c r="F9"/>
      <x:c r="G9"/>
      <x:c r="I9"/>
      <x:c r="J9"/>
      <x:c r="K9"/>
    </x:row>
    <x:row r="10" ht="20" customHeight="1">
      <x:c r="A10"/>
      <x:c r="B10"/>
      <x:c r="C10"/>
      <x:c r="E10"/>
      <x:c r="F10"/>
      <x:c r="G10"/>
      <x:c r="I10"/>
      <x:c r="J10"/>
      <x:c r="K10"/>
    </x:row>
    <x:row r="11" ht="20" customHeight="1"/>
    <x:row r="12" ht="20" customHeight="1"/>
    <x:row r="13" ht="20" customHeight="1">
      <x:c r="A13"/>
      <x:c r="B13"/>
      <x:c r="C13"/>
      <x:c r="D13"/>
      <x:c r="E13"/>
      <x:c r="F13"/>
    </x:row>
    <x:row r="14" ht="20" customHeight="1">
      <x:c r="A14"/>
      <x:c r="B14"/>
    </x:row>
    <x:row r="15" ht="20" customHeight="1">
      <x:c r="A15"/>
      <x:c r="B15"/>
    </x:row>
    <x:row r="16" ht="20" customHeight="1">
      <x:c r="A16"/>
      <x:c r="B16"/>
    </x:row>
    <x:row r="17" ht="20" customHeight="1">
      <x:c r="A17"/>
      <x:c r="B17"/>
    </x:row>
    <x:row r="18" ht="20" customHeight="1">
      <x:c r="A18"/>
      <x:c r="B18"/>
    </x:row>
    <x:row r="19" ht="20" customHeight="1"/>
    <x:row r="20" ht="20" customHeight="1"/>
    <x:row r="21" ht="20" customHeight="1">
      <x:c r="A21"/>
      <x:c r="B21"/>
      <x:c r="C21"/>
      <x:c r="D21"/>
      <x:c r="E21"/>
      <x:c r="F21"/>
      <x:c r="G21"/>
      <x:c r="H21"/>
      <x:c r="I21"/>
      <x:c r="J21"/>
      <x:c r="K21"/>
      <x:c r="L21"/>
      <x:c r="M21"/>
      <x:c r="N21"/>
    </x:row>
    <x:row r="22" ht="20" customHeight="1">
      <x:c r="A22"/>
      <x:c r="B22"/>
      <x:c r="C22"/>
      <x:c r="D22"/>
      <x:c r="E22"/>
      <x:c r="F22"/>
      <x:c r="G22"/>
      <x:c r="H22"/>
      <x:c r="I22"/>
      <x:c r="J22"/>
      <x:c r="K22"/>
      <x:c r="L22"/>
      <x:c r="M22"/>
      <x:c r="N22"/>
    </x:row>
    <x:row r="23" ht="20" customHeight="1">
      <x:c r="A23"/>
      <x:c r="B23"/>
      <x:c r="C23"/>
      <x:c r="D23"/>
      <x:c r="E23"/>
      <x:c r="F23"/>
      <x:c r="G23"/>
      <x:c r="H23"/>
      <x:c r="I23"/>
      <x:c r="J23"/>
      <x:c r="K23"/>
      <x:c r="L23"/>
      <x:c r="M23"/>
      <x:c r="N23"/>
    </x:row>
    <x:row r="24" ht="20" customHeight="1">
      <x:c r="A24" s="268" t="str">
        <x:v>Residual risk heatmap — count of open risks</x:v>
      </x:c>
      <x:c r="B24" s="268" t="str">
        <x:v>Residual risk heatmap — count of open risks</x:v>
      </x:c>
      <x:c r="C24" s="268" t="str">
        <x:v>Residual risk heatmap — count of open risks</x:v>
      </x:c>
      <x:c r="D24" s="268" t="str">
        <x:v>Residual risk heatmap — count of open risks</x:v>
      </x:c>
      <x:c r="E24" s="268" t="str">
        <x:v>Residual risk heatmap — count of open risks</x:v>
      </x:c>
      <x:c r="F24" s="268" t="str">
        <x:v>Residual risk heatmap — count of open risks</x:v>
      </x:c>
      <x:c r="G24" s="268" t="str">
        <x:v>Residual risk heatmap — count of open risks</x:v>
      </x:c>
      <x:c r="H24" s="268" t="str">
        <x:v>Priority risk actions</x:v>
      </x:c>
      <x:c r="I24" s="268" t="str">
        <x:v>Priority risk actions</x:v>
      </x:c>
      <x:c r="J24" s="268" t="str">
        <x:v>Priority risk actions</x:v>
      </x:c>
      <x:c r="K24" s="268" t="str">
        <x:v>Priority risk actions</x:v>
      </x:c>
      <x:c r="L24" s="268" t="str">
        <x:v>Priority risk actions</x:v>
      </x:c>
      <x:c r="M24" s="268" t="str">
        <x:v>Priority risk actions</x:v>
      </x:c>
      <x:c r="N24" s="268" t="str">
        <x:v>Priority risk actions</x:v>
      </x:c>
      <x:c r="O24" s="268" t="str">
        <x:v>Priority risk actions</x:v>
      </x:c>
      <x:c r="P24" s="268" t="str">
        <x:v>Priority risk actions</x:v>
      </x:c>
      <x:c r="Q24" s="268" t="str">
        <x:v>Priority risk actions</x:v>
      </x:c>
      <x:c r="R24" s="268" t="str">
        <x:v>Priority risk actions</x:v>
      </x:c>
      <x:c r="S24" s="268" t="str">
        <x:v>Priority risk actions</x:v>
      </x:c>
      <x:c r="T24" s="268" t="str">
        <x:v>Priority risk actions</x:v>
      </x:c>
      <x:c r="U24" s="268" t="str">
        <x:v>Priority risk actions</x:v>
      </x:c>
    </x:row>
    <x:row r="25" ht="20" customHeight="1">
      <x:c r="A25"/>
      <x:c r="B25"/>
      <x:c r="C25"/>
      <x:c r="D25"/>
      <x:c r="E25"/>
      <x:c r="F25"/>
      <x:c r="G25"/>
      <x:c r="H25"/>
      <x:c r="I25"/>
      <x:c r="J25"/>
      <x:c r="K25"/>
      <x:c r="L25"/>
      <x:c r="M25"/>
      <x:c r="N25"/>
    </x:row>
    <x:row r="26" ht="20" customHeight="1">
      <x:c r="A26" s="346" t="str">
        <x:v>Impact \ Likelihood</x:v>
      </x:c>
      <x:c r="B26" s="346" t="n">
        <x:v>1</x:v>
      </x:c>
      <x:c r="C26" s="346" t="n">
        <x:v>2</x:v>
      </x:c>
      <x:c r="D26" s="346" t="n">
        <x:v>3</x:v>
      </x:c>
      <x:c r="E26" s="346" t="n">
        <x:v>4</x:v>
      </x:c>
      <x:c r="F26" s="346" t="n">
        <x:v>5</x:v>
      </x:c>
      <x:c r="G26"/>
      <x:c r="H26" s="346" t="str">
        <x:v>Risk ID</x:v>
      </x:c>
      <x:c r="I26" s="346" t="str">
        <x:v>Category</x:v>
      </x:c>
      <x:c r="J26" s="346" t="str">
        <x:v>Risk event</x:v>
      </x:c>
      <x:c r="K26" s="346"/>
      <x:c r="L26" s="346"/>
      <x:c r="M26" s="346"/>
      <x:c r="N26" s="346"/>
      <x:c r="O26" s="346" t="str">
        <x:v>Owner</x:v>
      </x:c>
      <x:c r="P26" s="346"/>
      <x:c r="Q26" s="346"/>
      <x:c r="R26" s="346" t="str">
        <x:v>Score</x:v>
      </x:c>
      <x:c r="S26" s="346" t="str">
        <x:v>Status</x:v>
      </x:c>
      <x:c r="T26" s="346"/>
      <x:c r="U26" s="346"/>
    </x:row>
    <x:row r="27" ht="20" customHeight="1">
      <x:c r="A27" s="542" t="n">
        <x:v>5</x:v>
      </x:c>
      <x:c r="B27" s="546" t="n">
        <x:f>'Dashboard Data'!M5</x:f>
        <x:v>0</x:v>
      </x:c>
      <x:c r="C27" s="550" t="n">
        <x:f>'Dashboard Data'!N5</x:f>
        <x:v>0</x:v>
      </x:c>
      <x:c r="D27" s="554" t="n">
        <x:f>'Dashboard Data'!O5</x:f>
        <x:v>1</x:v>
      </x:c>
      <x:c r="E27" s="554" t="n">
        <x:f>'Dashboard Data'!P5</x:f>
        <x:v>0</x:v>
      </x:c>
      <x:c r="F27" s="554" t="n">
        <x:f>'Dashboard Data'!Q5</x:f>
        <x:v>0</x:v>
      </x:c>
      <x:c r="G27"/>
      <x:c r="H27" s="563" t="str">
        <x:f>'Dashboard Data'!A15</x:f>
        <x:v>RR-001</x:v>
      </x:c>
      <x:c r="I27" s="563" t="str">
        <x:f>'Dashboard Data'!B15</x:f>
        <x:v>Liquidity</x:v>
      </x:c>
      <x:c r="J27" s="563" t="str">
        <x:f>'Dashboard Data'!C15</x:f>
        <x:v>Insufficient liquid resources during a severe but plausible stress</x:v>
      </x:c>
      <x:c r="K27" s="563"/>
      <x:c r="L27" s="563"/>
      <x:c r="M27" s="563"/>
      <x:c r="N27" s="563"/>
      <x:c r="O27" s="563" t="str">
        <x:f>'Dashboard Data'!D15</x:f>
        <x:v>Head of Treasury</x:v>
      </x:c>
      <x:c r="P27" s="563"/>
      <x:c r="Q27" s="563"/>
      <x:c r="R27" s="565" t="n">
        <x:f>'Dashboard Data'!E15</x:f>
        <x:v>15</x:v>
      </x:c>
      <x:c r="S27" s="563" t="str">
        <x:f>'Dashboard Data'!F15</x:f>
        <x:v>In progress</x:v>
      </x:c>
      <x:c r="T27" s="563"/>
      <x:c r="U27" s="563"/>
    </x:row>
    <x:row r="28" ht="20" customHeight="1">
      <x:c r="A28" s="542" t="n">
        <x:v>4</x:v>
      </x:c>
      <x:c r="B28" s="558" t="n">
        <x:f>'Dashboard Data'!M6</x:f>
        <x:v>0</x:v>
      </x:c>
      <x:c r="C28" s="546" t="n">
        <x:f>'Dashboard Data'!N6</x:f>
        <x:v>3</x:v>
      </x:c>
      <x:c r="D28" s="550" t="n">
        <x:f>'Dashboard Data'!O6</x:f>
        <x:v>1</x:v>
      </x:c>
      <x:c r="E28" s="554" t="n">
        <x:f>'Dashboard Data'!P6</x:f>
        <x:v>0</x:v>
      </x:c>
      <x:c r="F28" s="554" t="n">
        <x:f>'Dashboard Data'!Q6</x:f>
        <x:v>0</x:v>
      </x:c>
      <x:c r="H28" s="563" t="str">
        <x:f>'Dashboard Data'!A16</x:f>
        <x:v>RR-003</x:v>
      </x:c>
      <x:c r="I28" s="563" t="str">
        <x:f>'Dashboard Data'!B16</x:f>
        <x:v>Operational</x:v>
      </x:c>
      <x:c r="J28" s="563" t="str">
        <x:f>'Dashboard Data'!C16</x:f>
        <x:v>Critical regulatory report is inaccurate or late</x:v>
      </x:c>
      <x:c r="K28" s="563"/>
      <x:c r="L28" s="563"/>
      <x:c r="M28" s="563"/>
      <x:c r="N28" s="563"/>
      <x:c r="O28" s="563" t="str">
        <x:f>'Dashboard Data'!D16</x:f>
        <x:v>COO</x:v>
      </x:c>
      <x:c r="P28" s="563"/>
      <x:c r="Q28" s="563"/>
      <x:c r="R28" s="566" t="n">
        <x:f>'Dashboard Data'!E16</x:f>
        <x:v>12</x:v>
      </x:c>
      <x:c r="S28" s="563" t="str">
        <x:f>'Dashboard Data'!F16</x:f>
        <x:v>Open</x:v>
      </x:c>
      <x:c r="T28" s="563"/>
      <x:c r="U28" s="563"/>
    </x:row>
    <x:row r="29" ht="20" customHeight="1">
      <x:c r="A29" s="542" t="n">
        <x:v>3</x:v>
      </x:c>
      <x:c r="B29" s="558" t="n">
        <x:f>'Dashboard Data'!M7</x:f>
        <x:v>0</x:v>
      </x:c>
      <x:c r="C29" s="546" t="n">
        <x:f>'Dashboard Data'!N7</x:f>
        <x:v>0</x:v>
      </x:c>
      <x:c r="D29" s="546" t="n">
        <x:f>'Dashboard Data'!O7</x:f>
        <x:v>0</x:v>
      </x:c>
      <x:c r="E29" s="550" t="n">
        <x:f>'Dashboard Data'!P7</x:f>
        <x:v>0</x:v>
      </x:c>
      <x:c r="F29" s="554" t="n">
        <x:f>'Dashboard Data'!Q7</x:f>
        <x:v>0</x:v>
      </x:c>
      <x:c r="H29" s="563" t="str">
        <x:f>'Dashboard Data'!A17</x:f>
        <x:v>RR-002</x:v>
      </x:c>
      <x:c r="I29" s="563" t="str">
        <x:f>'Dashboard Data'!B17</x:f>
        <x:v>Credit</x:v>
      </x:c>
      <x:c r="J29" s="563" t="str">
        <x:f>'Dashboard Data'!C17</x:f>
        <x:v>Material counterparty default creates loss and replacement-cost exposure</x:v>
      </x:c>
      <x:c r="K29" s="563"/>
      <x:c r="L29" s="563"/>
      <x:c r="M29" s="563"/>
      <x:c r="N29" s="563"/>
      <x:c r="O29" s="563" t="str">
        <x:f>'Dashboard Data'!D17</x:f>
        <x:v>Head of Credit Risk</x:v>
      </x:c>
      <x:c r="P29" s="563"/>
      <x:c r="Q29" s="563"/>
      <x:c r="R29" s="567" t="n">
        <x:f>'Dashboard Data'!E17</x:f>
        <x:v>8</x:v>
      </x:c>
      <x:c r="S29" s="563" t="str">
        <x:f>'Dashboard Data'!F17</x:f>
        <x:v>In progress</x:v>
      </x:c>
      <x:c r="T29" s="563"/>
      <x:c r="U29" s="563"/>
    </x:row>
    <x:row r="30" ht="20" customHeight="1">
      <x:c r="A30" s="542" t="n">
        <x:v>2</x:v>
      </x:c>
      <x:c r="B30" s="558" t="n">
        <x:f>'Dashboard Data'!M8</x:f>
        <x:v>0</x:v>
      </x:c>
      <x:c r="C30" s="558" t="n">
        <x:f>'Dashboard Data'!N8</x:f>
        <x:v>0</x:v>
      </x:c>
      <x:c r="D30" s="546" t="n">
        <x:f>'Dashboard Data'!O8</x:f>
        <x:v>0</x:v>
      </x:c>
      <x:c r="E30" s="546" t="n">
        <x:f>'Dashboard Data'!P8</x:f>
        <x:v>0</x:v>
      </x:c>
      <x:c r="F30" s="550" t="n">
        <x:f>'Dashboard Data'!Q8</x:f>
        <x:v>0</x:v>
      </x:c>
      <x:c r="H30" s="563" t="str">
        <x:f>'Dashboard Data'!A18</x:f>
        <x:v>RR-004</x:v>
      </x:c>
      <x:c r="I30" s="563" t="str">
        <x:f>'Dashboard Data'!B18</x:f>
        <x:v>Technology</x:v>
      </x:c>
      <x:c r="J30" s="563" t="str">
        <x:f>'Dashboard Data'!C18</x:f>
        <x:v>Material outage affects client-facing and risk systems</x:v>
      </x:c>
      <x:c r="K30" s="563"/>
      <x:c r="L30" s="563"/>
      <x:c r="M30" s="563"/>
      <x:c r="N30" s="563"/>
      <x:c r="O30" s="563" t="str">
        <x:f>'Dashboard Data'!D18</x:f>
        <x:v>CTO</x:v>
      </x:c>
      <x:c r="P30" s="563"/>
      <x:c r="Q30" s="563"/>
      <x:c r="R30" s="567" t="n">
        <x:f>'Dashboard Data'!E18</x:f>
        <x:v>8</x:v>
      </x:c>
      <x:c r="S30" s="563" t="str">
        <x:f>'Dashboard Data'!F18</x:f>
        <x:v>Open</x:v>
      </x:c>
      <x:c r="T30" s="563"/>
      <x:c r="U30" s="563"/>
    </x:row>
    <x:row r="31" ht="20" customHeight="1">
      <x:c r="A31" s="542" t="n">
        <x:v>1</x:v>
      </x:c>
      <x:c r="B31" s="558" t="n">
        <x:f>'Dashboard Data'!M9</x:f>
        <x:v>0</x:v>
      </x:c>
      <x:c r="C31" s="558" t="n">
        <x:f>'Dashboard Data'!N9</x:f>
        <x:v>0</x:v>
      </x:c>
      <x:c r="D31" s="558" t="n">
        <x:f>'Dashboard Data'!O9</x:f>
        <x:v>0</x:v>
      </x:c>
      <x:c r="E31" s="558" t="n">
        <x:f>'Dashboard Data'!P9</x:f>
        <x:v>0</x:v>
      </x:c>
      <x:c r="F31" s="546" t="n">
        <x:f>'Dashboard Data'!Q9</x:f>
        <x:v>0</x:v>
      </x:c>
      <x:c r="H31" s="563" t="str">
        <x:f>'Dashboard Data'!A19</x:f>
        <x:v>RR-005</x:v>
      </x:c>
      <x:c r="I31" s="563" t="str">
        <x:f>'Dashboard Data'!B19</x:f>
        <x:v>Conduct</x:v>
      </x:c>
      <x:c r="J31" s="563" t="str">
        <x:f>'Dashboard Data'!C19</x:f>
        <x:v>Product or service outcomes do not meet customer expectations</x:v>
      </x:c>
      <x:c r="K31" s="563"/>
      <x:c r="L31" s="563"/>
      <x:c r="M31" s="563"/>
      <x:c r="N31" s="563"/>
      <x:c r="O31" s="563" t="str">
        <x:f>'Dashboard Data'!D19</x:f>
        <x:v>Chief Compliance Officer</x:v>
      </x:c>
      <x:c r="P31" s="563"/>
      <x:c r="Q31" s="563"/>
      <x:c r="R31" s="567" t="n">
        <x:f>'Dashboard Data'!E19</x:f>
        <x:v>8</x:v>
      </x:c>
      <x:c r="S31" s="563" t="str">
        <x:f>'Dashboard Data'!F19</x:f>
        <x:v>In progress</x:v>
      </x:c>
      <x:c r="T31" s="563"/>
      <x:c r="U31" s="563"/>
    </x:row>
    <x:row r="32" ht="20" customHeight="1"/>
    <x:row r="33" ht="20" customHeight="1">
      <x:c r="A33" s="559" t="str">
        <x:v>Interpret counts with risk velocity, control confidence, concentration and emerging risk. A numerical matrix supports — but does not replace — management judgement.</x:v>
      </x:c>
      <x:c r="B33" s="559" t="str">
        <x:v>Interpret counts with risk velocity, control confidence, concentration and emerging risk. A numerical matrix supports — but does not replace — management judgement.</x:v>
      </x:c>
      <x:c r="C33" s="559" t="str">
        <x:v>Interpret counts with risk velocity, control confidence, concentration and emerging risk. A numerical matrix supports — but does not replace — management judgement.</x:v>
      </x:c>
      <x:c r="D33" s="559" t="str">
        <x:v>Interpret counts with risk velocity, control confidence, concentration and emerging risk. A numerical matrix supports — but does not replace — management judgement.</x:v>
      </x:c>
      <x:c r="E33" s="559" t="str">
        <x:v>Interpret counts with risk velocity, control confidence, concentration and emerging risk. A numerical matrix supports — but does not replace — management judgement.</x:v>
      </x:c>
      <x:c r="F33" s="559" t="str">
        <x:v>Interpret counts with risk velocity, control confidence, concentration and emerging risk. A numerical matrix supports — but does not replace — management judgement.</x:v>
      </x:c>
    </x:row>
    <x:row r="34" ht="20" customHeight="1">
      <x:c r="A34" s="559" t="str">
        <x:v>Interpret counts with risk velocity, control confidence, concentration and emerging risk. A numerical matrix supports — but does not replace — management judgement.</x:v>
      </x:c>
      <x:c r="B34" s="559" t="str">
        <x:v>Interpret counts with risk velocity, control confidence, concentration and emerging risk. A numerical matrix supports — but does not replace — management judgement.</x:v>
      </x:c>
      <x:c r="C34" s="559" t="str">
        <x:v>Interpret counts with risk velocity, control confidence, concentration and emerging risk. A numerical matrix supports — but does not replace — management judgement.</x:v>
      </x:c>
      <x:c r="D34" s="559" t="str">
        <x:v>Interpret counts with risk velocity, control confidence, concentration and emerging risk. A numerical matrix supports — but does not replace — management judgement.</x:v>
      </x:c>
      <x:c r="E34" s="559" t="str">
        <x:v>Interpret counts with risk velocity, control confidence, concentration and emerging risk. A numerical matrix supports — but does not replace — management judgement.</x:v>
      </x:c>
      <x:c r="F34" s="559" t="str">
        <x:v>Interpret counts with risk velocity, control confidence, concentration and emerging risk. A numerical matrix supports — but does not replace — management judgement.</x:v>
      </x:c>
    </x:row>
    <x:row r="35" ht="20" customHeight="1">
      <x:c r="A35" s="559" t="str">
        <x:v>Interpret counts with risk velocity, control confidence, concentration and emerging risk. A numerical matrix supports — but does not replace — management judgement.</x:v>
      </x:c>
      <x:c r="B35" s="559" t="str">
        <x:v>Interpret counts with risk velocity, control confidence, concentration and emerging risk. A numerical matrix supports — but does not replace — management judgement.</x:v>
      </x:c>
      <x:c r="C35" s="559" t="str">
        <x:v>Interpret counts with risk velocity, control confidence, concentration and emerging risk. A numerical matrix supports — but does not replace — management judgement.</x:v>
      </x:c>
      <x:c r="D35" s="559" t="str">
        <x:v>Interpret counts with risk velocity, control confidence, concentration and emerging risk. A numerical matrix supports — but does not replace — management judgement.</x:v>
      </x:c>
      <x:c r="E35" s="559" t="str">
        <x:v>Interpret counts with risk velocity, control confidence, concentration and emerging risk. A numerical matrix supports — but does not replace — management judgement.</x:v>
      </x:c>
      <x:c r="F35" s="559" t="str">
        <x:v>Interpret counts with risk velocity, control confidence, concentration and emerging risk. A numerical matrix supports — but does not replace — management judgement.</x:v>
      </x:c>
    </x:row>
    <x:row r="36" ht="20" customHeight="1"/>
    <x:row r="37" ht="20" customHeight="1"/>
    <x:row r="38" ht="20" customHeight="1">
      <x:c r="A38" s="268" t="str">
        <x:v>Executive commentary, decisions and evidence</x:v>
      </x:c>
      <x:c r="B38" s="268" t="str">
        <x:v>Executive commentary, decisions and evidence</x:v>
      </x:c>
      <x:c r="C38" s="268" t="str">
        <x:v>Executive commentary, decisions and evidence</x:v>
      </x:c>
      <x:c r="D38" s="268" t="str">
        <x:v>Executive commentary, decisions and evidence</x:v>
      </x:c>
      <x:c r="E38" s="268" t="str">
        <x:v>Executive commentary, decisions and evidence</x:v>
      </x:c>
      <x:c r="F38" s="268" t="str">
        <x:v>Executive commentary, decisions and evidence</x:v>
      </x:c>
      <x:c r="G38" s="268" t="str">
        <x:v>Executive commentary, decisions and evidence</x:v>
      </x:c>
      <x:c r="H38" s="268" t="str">
        <x:v>Executive commentary, decisions and evidence</x:v>
      </x:c>
      <x:c r="I38" s="268" t="str">
        <x:v>Executive commentary, decisions and evidence</x:v>
      </x:c>
      <x:c r="J38" s="268" t="str">
        <x:v>Executive commentary, decisions and evidence</x:v>
      </x:c>
      <x:c r="K38" s="268" t="str">
        <x:v>Executive commentary, decisions and evidence</x:v>
      </x:c>
      <x:c r="L38" s="268" t="str">
        <x:v>Executive commentary, decisions and evidence</x:v>
      </x:c>
      <x:c r="M38" s="268" t="str">
        <x:v>Executive commentary, decisions and evidence</x:v>
      </x:c>
      <x:c r="N38" s="268" t="str">
        <x:v>Executive commentary, decisions and evidence</x:v>
      </x:c>
      <x:c r="O38" s="268" t="str">
        <x:v>Executive commentary, decisions and evidence</x:v>
      </x:c>
      <x:c r="P38" s="268" t="str">
        <x:v>Executive commentary, decisions and evidence</x:v>
      </x:c>
      <x:c r="Q38" s="268" t="str">
        <x:v>Executive commentary, decisions and evidence</x:v>
      </x:c>
      <x:c r="R38" s="268" t="str">
        <x:v>Executive commentary, decisions and evidence</x:v>
      </x:c>
      <x:c r="S38" s="268" t="str">
        <x:v>Executive commentary, decisions and evidence</x:v>
      </x:c>
      <x:c r="T38" s="268" t="str">
        <x:v>Executive commentary, decisions and evidence</x:v>
      </x:c>
      <x:c r="U38" s="268" t="str">
        <x:v>Executive commentary, decisions and evidence</x:v>
      </x:c>
    </x:row>
    <x:row r="39" ht="20" customHeight="1"/>
    <x:row r="40" ht="20" customHeight="1">
      <x:c r="A40" s="346" t="str">
        <x:v>Topic</x:v>
      </x:c>
      <x:c r="B40" s="346"/>
      <x:c r="C40" s="346"/>
      <x:c r="D40" s="346" t="str">
        <x:v>Management assessment</x:v>
      </x:c>
      <x:c r="E40" s="346"/>
      <x:c r="F40" s="346"/>
      <x:c r="G40" s="346"/>
      <x:c r="H40" s="346"/>
      <x:c r="I40" s="346"/>
      <x:c r="J40" s="346" t="str">
        <x:v>Decision / action</x:v>
      </x:c>
      <x:c r="K40" s="346"/>
      <x:c r="L40" s="346"/>
      <x:c r="M40" s="346"/>
      <x:c r="N40" s="346"/>
      <x:c r="O40" s="346" t="str">
        <x:v>Owner · due date · evidence</x:v>
      </x:c>
      <x:c r="P40" s="346"/>
      <x:c r="Q40" s="346"/>
      <x:c r="R40" s="346"/>
      <x:c r="S40" s="346"/>
      <x:c r="T40" s="346"/>
      <x:c r="U40" s="346"/>
    </x:row>
    <x:row r="41" ht="20" customHeight="1">
      <x:c r="A41" s="571" t="str">
        <x:v>Liquidity</x:v>
      </x:c>
      <x:c r="B41" s="571" t="str">
        <x:v>Liquidity</x:v>
      </x:c>
      <x:c r="C41" s="571" t="str">
        <x:v>Liquidity</x:v>
      </x:c>
      <x:c r="D41" s="571" t="str">
        <x:v>Amber — survival horizon remains above the minimum but below internal target.</x:v>
      </x:c>
      <x:c r="E41" s="571" t="str">
        <x:v>Amber — survival horizon remains above the minimum but below internal target.</x:v>
      </x:c>
      <x:c r="F41" s="571" t="str">
        <x:v>Amber — survival horizon remains above the minimum but below internal target.</x:v>
      </x:c>
      <x:c r="G41" s="571" t="str">
        <x:v>Amber — survival horizon remains above the minimum but below internal target.</x:v>
      </x:c>
      <x:c r="H41" s="571" t="str">
        <x:v>Amber — survival horizon remains above the minimum but below internal target.</x:v>
      </x:c>
      <x:c r="I41" s="571" t="str">
        <x:v>Amber — survival horizon remains above the minimum but below internal target.</x:v>
      </x:c>
      <x:c r="J41" s="571" t="str">
        <x:v>Maintain enhanced daily monitoring.</x:v>
      </x:c>
      <x:c r="K41" s="571" t="str">
        <x:v>Maintain enhanced daily monitoring.</x:v>
      </x:c>
      <x:c r="L41" s="571" t="str">
        <x:v>Maintain enhanced daily monitoring.</x:v>
      </x:c>
      <x:c r="M41" s="571" t="str">
        <x:v>Maintain enhanced daily monitoring.</x:v>
      </x:c>
      <x:c r="N41" s="571" t="str">
        <x:v>Maintain enhanced daily monitoring.</x:v>
      </x:c>
      <x:c r="O41" s="571" t="str">
        <x:v>Head of Treasury · 15 Sep 2026 · daily pack</x:v>
      </x:c>
      <x:c r="P41" s="571" t="str">
        <x:v>Head of Treasury · 15 Sep 2026 · daily pack</x:v>
      </x:c>
      <x:c r="Q41" s="571" t="str">
        <x:v>Head of Treasury · 15 Sep 2026 · daily pack</x:v>
      </x:c>
      <x:c r="R41" s="571" t="str">
        <x:v>Head of Treasury · 15 Sep 2026 · daily pack</x:v>
      </x:c>
      <x:c r="S41" s="571" t="str">
        <x:v>Head of Treasury · 15 Sep 2026 · daily pack</x:v>
      </x:c>
      <x:c r="T41" s="571" t="str">
        <x:v>Head of Treasury · 15 Sep 2026 · daily pack</x:v>
      </x:c>
      <x:c r="U41" s="571" t="str">
        <x:v>Head of Treasury · 15 Sep 2026 · daily pack</x:v>
      </x:c>
    </x:row>
    <x:row r="42" ht="20" customHeight="1">
      <x:c r="A42" s="571" t="str">
        <x:v>Regulatory reporting</x:v>
      </x:c>
      <x:c r="B42" s="571" t="str">
        <x:v>Regulatory reporting</x:v>
      </x:c>
      <x:c r="C42" s="571" t="str">
        <x:v>Regulatory reporting</x:v>
      </x:c>
      <x:c r="D42" s="571" t="str">
        <x:v>Red — material mapping issue remains outside appetite.</x:v>
      </x:c>
      <x:c r="E42" s="571" t="str">
        <x:v>Red — material mapping issue remains outside appetite.</x:v>
      </x:c>
      <x:c r="F42" s="571" t="str">
        <x:v>Red — material mapping issue remains outside appetite.</x:v>
      </x:c>
      <x:c r="G42" s="571" t="str">
        <x:v>Red — material mapping issue remains outside appetite.</x:v>
      </x:c>
      <x:c r="H42" s="571" t="str">
        <x:v>Red — material mapping issue remains outside appetite.</x:v>
      </x:c>
      <x:c r="I42" s="571" t="str">
        <x:v>Red — material mapping issue remains outside appetite.</x:v>
      </x:c>
      <x:c r="J42" s="571" t="str">
        <x:v>Sponsor remediation and independent validation.</x:v>
      </x:c>
      <x:c r="K42" s="571" t="str">
        <x:v>Sponsor remediation and independent validation.</x:v>
      </x:c>
      <x:c r="L42" s="571" t="str">
        <x:v>Sponsor remediation and independent validation.</x:v>
      </x:c>
      <x:c r="M42" s="571" t="str">
        <x:v>Sponsor remediation and independent validation.</x:v>
      </x:c>
      <x:c r="N42" s="571" t="str">
        <x:v>Sponsor remediation and independent validation.</x:v>
      </x:c>
      <x:c r="O42" s="571" t="str">
        <x:v>COO · 30 Sep 2026 · reconciliation evidence</x:v>
      </x:c>
      <x:c r="P42" s="571" t="str">
        <x:v>COO · 30 Sep 2026 · reconciliation evidence</x:v>
      </x:c>
      <x:c r="Q42" s="571" t="str">
        <x:v>COO · 30 Sep 2026 · reconciliation evidence</x:v>
      </x:c>
      <x:c r="R42" s="571" t="str">
        <x:v>COO · 30 Sep 2026 · reconciliation evidence</x:v>
      </x:c>
      <x:c r="S42" s="571" t="str">
        <x:v>COO · 30 Sep 2026 · reconciliation evidence</x:v>
      </x:c>
      <x:c r="T42" s="571" t="str">
        <x:v>COO · 30 Sep 2026 · reconciliation evidence</x:v>
      </x:c>
      <x:c r="U42" s="571" t="str">
        <x:v>COO · 30 Sep 2026 · reconciliation evidence</x:v>
      </x:c>
    </x:row>
    <x:row r="43" ht="20" customHeight="1">
      <x:c r="A43" s="571" t="str">
        <x:v>Credit concentration</x:v>
      </x:c>
      <x:c r="B43" s="571" t="str">
        <x:v>Credit concentration</x:v>
      </x:c>
      <x:c r="C43" s="571" t="str">
        <x:v>Credit concentration</x:v>
      </x:c>
      <x:c r="D43" s="571" t="str">
        <x:v>Amber — utilisation is elevated at two generic sample counterparties.</x:v>
      </x:c>
      <x:c r="E43" s="571" t="str">
        <x:v>Amber — utilisation is elevated at two generic sample counterparties.</x:v>
      </x:c>
      <x:c r="F43" s="571" t="str">
        <x:v>Amber — utilisation is elevated at two generic sample counterparties.</x:v>
      </x:c>
      <x:c r="G43" s="571" t="str">
        <x:v>Amber — utilisation is elevated at two generic sample counterparties.</x:v>
      </x:c>
      <x:c r="H43" s="571" t="str">
        <x:v>Amber — utilisation is elevated at two generic sample counterparties.</x:v>
      </x:c>
      <x:c r="I43" s="571" t="str">
        <x:v>Amber — utilisation is elevated at two generic sample counterparties.</x:v>
      </x:c>
      <x:c r="J43" s="571" t="str">
        <x:v>Review limits and collateral at the next committee.</x:v>
      </x:c>
      <x:c r="K43" s="571" t="str">
        <x:v>Review limits and collateral at the next committee.</x:v>
      </x:c>
      <x:c r="L43" s="571" t="str">
        <x:v>Review limits and collateral at the next committee.</x:v>
      </x:c>
      <x:c r="M43" s="571" t="str">
        <x:v>Review limits and collateral at the next committee.</x:v>
      </x:c>
      <x:c r="N43" s="571" t="str">
        <x:v>Review limits and collateral at the next committee.</x:v>
      </x:c>
      <x:c r="O43" s="571" t="str">
        <x:v>Head of Credit Risk · 10 Sep 2026 · limit paper</x:v>
      </x:c>
      <x:c r="P43" s="571" t="str">
        <x:v>Head of Credit Risk · 10 Sep 2026 · limit paper</x:v>
      </x:c>
      <x:c r="Q43" s="571" t="str">
        <x:v>Head of Credit Risk · 10 Sep 2026 · limit paper</x:v>
      </x:c>
      <x:c r="R43" s="571" t="str">
        <x:v>Head of Credit Risk · 10 Sep 2026 · limit paper</x:v>
      </x:c>
      <x:c r="S43" s="571" t="str">
        <x:v>Head of Credit Risk · 10 Sep 2026 · limit paper</x:v>
      </x:c>
      <x:c r="T43" s="571" t="str">
        <x:v>Head of Credit Risk · 10 Sep 2026 · limit paper</x:v>
      </x:c>
      <x:c r="U43" s="571" t="str">
        <x:v>Head of Credit Risk · 10 Sep 2026 · limit paper</x:v>
      </x:c>
    </x:row>
    <x:row r="44" ht="20" customHeight="1">
      <x:c r="A44" s="571" t="str">
        <x:v>Operational resilience</x:v>
      </x:c>
      <x:c r="B44" s="571" t="str">
        <x:v>Operational resilience</x:v>
      </x:c>
      <x:c r="C44" s="571" t="str">
        <x:v>Operational resilience</x:v>
      </x:c>
      <x:c r="D44" s="571" t="str">
        <x:v>Amber — recent outage actions are in progress.</x:v>
      </x:c>
      <x:c r="E44" s="571" t="str">
        <x:v>Amber — recent outage actions are in progress.</x:v>
      </x:c>
      <x:c r="F44" s="571" t="str">
        <x:v>Amber — recent outage actions are in progress.</x:v>
      </x:c>
      <x:c r="G44" s="571" t="str">
        <x:v>Amber — recent outage actions are in progress.</x:v>
      </x:c>
      <x:c r="H44" s="571" t="str">
        <x:v>Amber — recent outage actions are in progress.</x:v>
      </x:c>
      <x:c r="I44" s="571" t="str">
        <x:v>Amber — recent outage actions are in progress.</x:v>
      </x:c>
      <x:c r="J44" s="571" t="str">
        <x:v>Complete failover testing and evidence closure.</x:v>
      </x:c>
      <x:c r="K44" s="571" t="str">
        <x:v>Complete failover testing and evidence closure.</x:v>
      </x:c>
      <x:c r="L44" s="571" t="str">
        <x:v>Complete failover testing and evidence closure.</x:v>
      </x:c>
      <x:c r="M44" s="571" t="str">
        <x:v>Complete failover testing and evidence closure.</x:v>
      </x:c>
      <x:c r="N44" s="571" t="str">
        <x:v>Complete failover testing and evidence closure.</x:v>
      </x:c>
      <x:c r="O44" s="571" t="str">
        <x:v>CTO · 20 Sep 2026 · test report</x:v>
      </x:c>
      <x:c r="P44" s="571" t="str">
        <x:v>CTO · 20 Sep 2026 · test report</x:v>
      </x:c>
      <x:c r="Q44" s="571" t="str">
        <x:v>CTO · 20 Sep 2026 · test report</x:v>
      </x:c>
      <x:c r="R44" s="571" t="str">
        <x:v>CTO · 20 Sep 2026 · test report</x:v>
      </x:c>
      <x:c r="S44" s="571" t="str">
        <x:v>CTO · 20 Sep 2026 · test report</x:v>
      </x:c>
      <x:c r="T44" s="571" t="str">
        <x:v>CTO · 20 Sep 2026 · test report</x:v>
      </x:c>
      <x:c r="U44" s="571" t="str">
        <x:v>CTO · 20 Sep 2026 · test report</x:v>
      </x:c>
    </x:row>
    <x:row r="45" ht="20" customHeight="1"/>
    <x:row r="46" ht="20" customHeight="1"/>
    <x:row r="47" ht="20" customHeight="1">
      <x:c r="A47" s="559" t="str">
        <x:v>Illustrative template only. Confirm data lineage, thresholds, ownership, challenge, decisions and closure evidence before use in governance reporting.</x:v>
      </x:c>
      <x:c r="B47" s="559" t="str">
        <x:v>Illustrative template only. Confirm data lineage, thresholds, ownership, challenge, decisions and closure evidence before use in governance reporting.</x:v>
      </x:c>
      <x:c r="C47" s="559" t="str">
        <x:v>Illustrative template only. Confirm data lineage, thresholds, ownership, challenge, decisions and closure evidence before use in governance reporting.</x:v>
      </x:c>
      <x:c r="D47" s="559" t="str">
        <x:v>Illustrative template only. Confirm data lineage, thresholds, ownership, challenge, decisions and closure evidence before use in governance reporting.</x:v>
      </x:c>
      <x:c r="E47" s="559" t="str">
        <x:v>Illustrative template only. Confirm data lineage, thresholds, ownership, challenge, decisions and closure evidence before use in governance reporting.</x:v>
      </x:c>
      <x:c r="F47" s="559" t="str">
        <x:v>Illustrative template only. Confirm data lineage, thresholds, ownership, challenge, decisions and closure evidence before use in governance reporting.</x:v>
      </x:c>
      <x:c r="G47" s="559" t="str">
        <x:v>Illustrative template only. Confirm data lineage, thresholds, ownership, challenge, decisions and closure evidence before use in governance reporting.</x:v>
      </x:c>
      <x:c r="H47" s="559" t="str">
        <x:v>Illustrative template only. Confirm data lineage, thresholds, ownership, challenge, decisions and closure evidence before use in governance reporting.</x:v>
      </x:c>
      <x:c r="I47" s="559" t="str">
        <x:v>Illustrative template only. Confirm data lineage, thresholds, ownership, challenge, decisions and closure evidence before use in governance reporting.</x:v>
      </x:c>
      <x:c r="J47" s="559" t="str">
        <x:v>Illustrative template only. Confirm data lineage, thresholds, ownership, challenge, decisions and closure evidence before use in governance reporting.</x:v>
      </x:c>
      <x:c r="K47" s="559" t="str">
        <x:v>Illustrative template only. Confirm data lineage, thresholds, ownership, challenge, decisions and closure evidence before use in governance reporting.</x:v>
      </x:c>
      <x:c r="L47" s="559" t="str">
        <x:v>Illustrative template only. Confirm data lineage, thresholds, ownership, challenge, decisions and closure evidence before use in governance reporting.</x:v>
      </x:c>
      <x:c r="M47" s="559" t="str">
        <x:v>Illustrative template only. Confirm data lineage, thresholds, ownership, challenge, decisions and closure evidence before use in governance reporting.</x:v>
      </x:c>
      <x:c r="N47" s="559" t="str">
        <x:v>Illustrative template only. Confirm data lineage, thresholds, ownership, challenge, decisions and closure evidence before use in governance reporting.</x:v>
      </x:c>
      <x:c r="O47" s="559" t="str">
        <x:v>Illustrative template only. Confirm data lineage, thresholds, ownership, challenge, decisions and closure evidence before use in governance reporting.</x:v>
      </x:c>
      <x:c r="P47" s="559" t="str">
        <x:v>Illustrative template only. Confirm data lineage, thresholds, ownership, challenge, decisions and closure evidence before use in governance reporting.</x:v>
      </x:c>
      <x:c r="Q47" s="559" t="str">
        <x:v>Illustrative template only. Confirm data lineage, thresholds, ownership, challenge, decisions and closure evidence before use in governance reporting.</x:v>
      </x:c>
      <x:c r="R47" s="559" t="str">
        <x:v>Illustrative template only. Confirm data lineage, thresholds, ownership, challenge, decisions and closure evidence before use in governance reporting.</x:v>
      </x:c>
      <x:c r="S47" s="559" t="str">
        <x:v>Illustrative template only. Confirm data lineage, thresholds, ownership, challenge, decisions and closure evidence before use in governance reporting.</x:v>
      </x:c>
      <x:c r="T47" s="559" t="str">
        <x:v>Illustrative template only. Confirm data lineage, thresholds, ownership, challenge, decisions and closure evidence before use in governance reporting.</x:v>
      </x:c>
      <x:c r="U47" s="559" t="str">
        <x:v>Illustrative template only. Confirm data lineage, thresholds, ownership, challenge, decisions and closure evidence before use in governance reporting.</x:v>
      </x:c>
    </x:row>
    <x:row r="48" ht="20" customHeight="1">
      <x:c r="A48" s="559" t="str">
        <x:v>Illustrative template only. Confirm data lineage, thresholds, ownership, challenge, decisions and closure evidence before use in governance reporting.</x:v>
      </x:c>
      <x:c r="B48" s="559" t="str">
        <x:v>Illustrative template only. Confirm data lineage, thresholds, ownership, challenge, decisions and closure evidence before use in governance reporting.</x:v>
      </x:c>
      <x:c r="C48" s="559" t="str">
        <x:v>Illustrative template only. Confirm data lineage, thresholds, ownership, challenge, decisions and closure evidence before use in governance reporting.</x:v>
      </x:c>
      <x:c r="D48" s="559" t="str">
        <x:v>Illustrative template only. Confirm data lineage, thresholds, ownership, challenge, decisions and closure evidence before use in governance reporting.</x:v>
      </x:c>
      <x:c r="E48" s="559" t="str">
        <x:v>Illustrative template only. Confirm data lineage, thresholds, ownership, challenge, decisions and closure evidence before use in governance reporting.</x:v>
      </x:c>
      <x:c r="F48" s="559" t="str">
        <x:v>Illustrative template only. Confirm data lineage, thresholds, ownership, challenge, decisions and closure evidence before use in governance reporting.</x:v>
      </x:c>
      <x:c r="G48" s="559" t="str">
        <x:v>Illustrative template only. Confirm data lineage, thresholds, ownership, challenge, decisions and closure evidence before use in governance reporting.</x:v>
      </x:c>
      <x:c r="H48" s="559" t="str">
        <x:v>Illustrative template only. Confirm data lineage, thresholds, ownership, challenge, decisions and closure evidence before use in governance reporting.</x:v>
      </x:c>
      <x:c r="I48" s="559" t="str">
        <x:v>Illustrative template only. Confirm data lineage, thresholds, ownership, challenge, decisions and closure evidence before use in governance reporting.</x:v>
      </x:c>
      <x:c r="J48" s="559" t="str">
        <x:v>Illustrative template only. Confirm data lineage, thresholds, ownership, challenge, decisions and closure evidence before use in governance reporting.</x:v>
      </x:c>
      <x:c r="K48" s="559" t="str">
        <x:v>Illustrative template only. Confirm data lineage, thresholds, ownership, challenge, decisions and closure evidence before use in governance reporting.</x:v>
      </x:c>
      <x:c r="L48" s="559" t="str">
        <x:v>Illustrative template only. Confirm data lineage, thresholds, ownership, challenge, decisions and closure evidence before use in governance reporting.</x:v>
      </x:c>
      <x:c r="M48" s="559" t="str">
        <x:v>Illustrative template only. Confirm data lineage, thresholds, ownership, challenge, decisions and closure evidence before use in governance reporting.</x:v>
      </x:c>
      <x:c r="N48" s="559" t="str">
        <x:v>Illustrative template only. Confirm data lineage, thresholds, ownership, challenge, decisions and closure evidence before use in governance reporting.</x:v>
      </x:c>
      <x:c r="O48" s="559" t="str">
        <x:v>Illustrative template only. Confirm data lineage, thresholds, ownership, challenge, decisions and closure evidence before use in governance reporting.</x:v>
      </x:c>
      <x:c r="P48" s="559" t="str">
        <x:v>Illustrative template only. Confirm data lineage, thresholds, ownership, challenge, decisions and closure evidence before use in governance reporting.</x:v>
      </x:c>
      <x:c r="Q48" s="559" t="str">
        <x:v>Illustrative template only. Confirm data lineage, thresholds, ownership, challenge, decisions and closure evidence before use in governance reporting.</x:v>
      </x:c>
      <x:c r="R48" s="559" t="str">
        <x:v>Illustrative template only. Confirm data lineage, thresholds, ownership, challenge, decisions and closure evidence before use in governance reporting.</x:v>
      </x:c>
      <x:c r="S48" s="559" t="str">
        <x:v>Illustrative template only. Confirm data lineage, thresholds, ownership, challenge, decisions and closure evidence before use in governance reporting.</x:v>
      </x:c>
      <x:c r="T48" s="559" t="str">
        <x:v>Illustrative template only. Confirm data lineage, thresholds, ownership, challenge, decisions and closure evidence before use in governance reporting.</x:v>
      </x:c>
      <x:c r="U48" s="559" t="str">
        <x:v>Illustrative template only. Confirm data lineage, thresholds, ownership, challenge, decisions and closure evidence before use in governance reporting.</x:v>
      </x:c>
    </x:row>
  </x:sheetData>
  <x:mergeCells>
    <x:mergeCell ref="A1:U1"/>
    <x:mergeCell ref="A2:U2"/>
    <x:mergeCell ref="A4:C4"/>
    <x:mergeCell ref="A5:C7"/>
    <x:mergeCell ref="D4:F4"/>
    <x:mergeCell ref="D5:F7"/>
    <x:mergeCell ref="G4:I4"/>
    <x:mergeCell ref="G5:I7"/>
    <x:mergeCell ref="J4:L4"/>
    <x:mergeCell ref="J5:L7"/>
    <x:mergeCell ref="M4:O4"/>
    <x:mergeCell ref="M5:O7"/>
    <x:mergeCell ref="P4:R4"/>
    <x:mergeCell ref="P5:R7"/>
    <x:mergeCell ref="A24:G24"/>
    <x:mergeCell ref="A33:F35"/>
    <x:mergeCell ref="H24:U24"/>
    <x:mergeCell ref="J26:N26"/>
    <x:mergeCell ref="O26:Q26"/>
    <x:mergeCell ref="S26:U26"/>
    <x:mergeCell ref="J27:N27"/>
    <x:mergeCell ref="O27:Q27"/>
    <x:mergeCell ref="S27:U27"/>
    <x:mergeCell ref="J28:N28"/>
    <x:mergeCell ref="O28:Q28"/>
    <x:mergeCell ref="S28:U28"/>
    <x:mergeCell ref="J29:N29"/>
    <x:mergeCell ref="O29:Q29"/>
    <x:mergeCell ref="S29:U29"/>
    <x:mergeCell ref="J30:N30"/>
    <x:mergeCell ref="O30:Q30"/>
    <x:mergeCell ref="S30:U30"/>
    <x:mergeCell ref="J31:N31"/>
    <x:mergeCell ref="O31:Q31"/>
    <x:mergeCell ref="S31:U31"/>
    <x:mergeCell ref="A38:U38"/>
    <x:mergeCell ref="A40:C40"/>
    <x:mergeCell ref="D40:I40"/>
    <x:mergeCell ref="J40:N40"/>
    <x:mergeCell ref="O40:U40"/>
    <x:mergeCell ref="A41:C41"/>
    <x:mergeCell ref="D41:I41"/>
    <x:mergeCell ref="J41:N41"/>
    <x:mergeCell ref="O41:U41"/>
    <x:mergeCell ref="A42:C42"/>
    <x:mergeCell ref="D42:I42"/>
    <x:mergeCell ref="J42:N42"/>
    <x:mergeCell ref="O42:U42"/>
    <x:mergeCell ref="A43:C43"/>
    <x:mergeCell ref="D43:I43"/>
    <x:mergeCell ref="J43:N43"/>
    <x:mergeCell ref="O43:U43"/>
    <x:mergeCell ref="A44:C44"/>
    <x:mergeCell ref="D44:I44"/>
    <x:mergeCell ref="J44:N44"/>
    <x:mergeCell ref="O44:U44"/>
    <x:mergeCell ref="A47:U48"/>
  </x:mergeCells>
  <x:pageMargins left="0.7" right="0.7" top="0.75" bottom="0.75" header="0.3" footer="0.3"/>
  <x:drawing xmlns:r="http://schemas.openxmlformats.org/officeDocument/2006/relationships" r:id="R17861a6722b047f5"/>
</x:worksheet>
</file>

<file path=xl/worksheets/sheet9.xml><?xml version="1.0" encoding="utf-8"?>
<x:worksheet xmlns:x="http://schemas.openxmlformats.org/spreadsheetml/2006/main">
  <x:sheetViews>
    <x:sheetView showGridLines="0" workbookViewId="0"/>
  </x:sheetViews>
  <x:sheetFormatPr defaultRowHeight="15"/>
  <x:cols>
    <x:col min="1" max="1" width="38"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s>
  <x:sheetData>
    <x:row r="1" ht="34" customHeight="1">
      <x:c r="A1" s="260" t="str">
        <x:v>Template Pack Checks</x:v>
      </x:c>
      <x:c r="B1" s="260" t="str">
        <x:v>Template Pack Checks</x:v>
      </x:c>
      <x:c r="C1" s="260" t="str">
        <x:v>Template Pack Checks</x:v>
      </x:c>
      <x:c r="D1" s="260" t="str">
        <x:v>Template Pack Checks</x:v>
      </x:c>
      <x:c r="E1" s="260" t="str">
        <x:v>Template Pack Checks</x:v>
      </x:c>
      <x:c r="F1" s="260" t="str">
        <x:v>Template Pack Checks</x:v>
      </x:c>
      <x:c r="G1" s="260" t="str">
        <x:v>Template Pack Checks</x:v>
      </x:c>
    </x:row>
    <x:row r="2" ht="32" customHeight="1">
      <x:c r="A2" s="264" t="str">
        <x:v>Visible population, formula and sanitisation checks for the V13 workbook.</x:v>
      </x:c>
      <x:c r="B2" s="264" t="str">
        <x:v>Visible population, formula and sanitisation checks for the V13 workbook.</x:v>
      </x:c>
      <x:c r="C2" s="264" t="str">
        <x:v>Visible population, formula and sanitisation checks for the V13 workbook.</x:v>
      </x:c>
      <x:c r="D2" s="264" t="str">
        <x:v>Visible population, formula and sanitisation checks for the V13 workbook.</x:v>
      </x:c>
      <x:c r="E2" s="264" t="str">
        <x:v>Visible population, formula and sanitisation checks for the V13 workbook.</x:v>
      </x:c>
      <x:c r="F2" s="264" t="str">
        <x:v>Visible population, formula and sanitisation checks for the V13 workbook.</x:v>
      </x:c>
      <x:c r="G2" s="264" t="str">
        <x:v>Visible population, formula and sanitisation checks for the V13 workbook.</x:v>
      </x:c>
    </x:row>
    <x:row r="5" ht="30" customHeight="1">
      <x:c r="A5" s="346" t="str">
        <x:v>Check</x:v>
      </x:c>
      <x:c r="B5" s="346" t="str">
        <x:v>Actual</x:v>
      </x:c>
      <x:c r="C5" s="346" t="str">
        <x:v>Expected</x:v>
      </x:c>
      <x:c r="D5" s="346" t="str">
        <x:v>Difference</x:v>
      </x:c>
      <x:c r="E5" s="346" t="str">
        <x:v>Tolerance</x:v>
      </x:c>
      <x:c r="F5" s="346" t="str">
        <x:v>Status</x:v>
      </x:c>
      <x:c r="G5"/>
    </x:row>
    <x:row r="6">
      <x:c r="A6" s="300" t="str">
        <x:v>Risk register sample rows</x:v>
      </x:c>
      <x:c r="B6" s="300" t="n">
        <x:f>COUNTA('Risk Register'!$A$8:$A$12)</x:f>
        <x:v>5</x:v>
      </x:c>
      <x:c r="C6" s="300" t="n">
        <x:v>5</x:v>
      </x:c>
      <x:c r="D6" s="300" t="n">
        <x:f>B6-C6</x:f>
        <x:v>0</x:v>
      </x:c>
      <x:c r="E6" s="300" t="n">
        <x:v>0</x:v>
      </x:c>
      <x:c r="F6" s="363" t="str">
        <x:f>IF(ABS(D6)&lt;=E6,"OK","CHECK")</x:f>
        <x:v>OK</x:v>
      </x:c>
      <x:c r="G6"/>
    </x:row>
    <x:row r="7">
      <x:c r="A7" s="300" t="str">
        <x:v>Risk scores populated</x:v>
      </x:c>
      <x:c r="B7" s="300" t="n">
        <x:f>COUNT('Risk Register'!$N$8:$N$12)</x:f>
        <x:v>5</x:v>
      </x:c>
      <x:c r="C7" s="300" t="n">
        <x:v>5</x:v>
      </x:c>
      <x:c r="D7" s="300" t="n">
        <x:f>B7-C7</x:f>
        <x:v>0</x:v>
      </x:c>
      <x:c r="E7" s="300" t="n">
        <x:v>0</x:v>
      </x:c>
      <x:c r="F7" s="363" t="str">
        <x:f>IF(ABS(D7)&lt;=E7,"OK","CHECK")</x:f>
        <x:v>OK</x:v>
      </x:c>
      <x:c r="G7"/>
    </x:row>
    <x:row r="8">
      <x:c r="A8" s="300" t="str">
        <x:v>Incident sample rows</x:v>
      </x:c>
      <x:c r="B8" s="300" t="n">
        <x:f>COUNTA('Incident Report'!$A$8:$A$11)</x:f>
        <x:v>4</x:v>
      </x:c>
      <x:c r="C8" s="300" t="n">
        <x:v>4</x:v>
      </x:c>
      <x:c r="D8" s="300" t="n">
        <x:f>B8-C8</x:f>
        <x:v>0</x:v>
      </x:c>
      <x:c r="E8" s="300" t="n">
        <x:v>0</x:v>
      </x:c>
      <x:c r="F8" s="363" t="str">
        <x:f>IF(ABS(D8)&lt;=E8,"OK","CHECK")</x:f>
        <x:v>OK</x:v>
      </x:c>
      <x:c r="G8"/>
    </x:row>
    <x:row r="9">
      <x:c r="A9" s="300" t="str">
        <x:v>Credit sample rows</x:v>
      </x:c>
      <x:c r="B9" s="300" t="n">
        <x:f>COUNTA('Credit Monitoring'!$A$8:$A$12)</x:f>
        <x:v>5</x:v>
      </x:c>
      <x:c r="C9" s="300" t="n">
        <x:v>5</x:v>
      </x:c>
      <x:c r="D9" s="300" t="n">
        <x:f>B9-C9</x:f>
        <x:v>0</x:v>
      </x:c>
      <x:c r="E9" s="300" t="n">
        <x:v>0</x:v>
      </x:c>
      <x:c r="F9" s="363" t="str">
        <x:f>IF(ABS(D9)&lt;=E9,"OK","CHECK")</x:f>
        <x:v>OK</x:v>
      </x:c>
      <x:c r="G9"/>
    </x:row>
    <x:row r="10">
      <x:c r="A10" s="300" t="str">
        <x:v>Liquidity sample rows</x:v>
      </x:c>
      <x:c r="B10" s="300" t="n">
        <x:f>COUNTA('Liquidity Monitoring'!$A$6:$A$11)</x:f>
        <x:v>6</x:v>
      </x:c>
      <x:c r="C10" s="300" t="n">
        <x:v>6</x:v>
      </x:c>
      <x:c r="D10" s="300" t="n">
        <x:f>B10-C10</x:f>
        <x:v>0</x:v>
      </x:c>
      <x:c r="E10" s="300" t="n">
        <x:v>0</x:v>
      </x:c>
      <x:c r="F10" s="363" t="str">
        <x:f>IF(ABS(D10)&lt;=E10,"OK","CHECK")</x:f>
        <x:v>OK</x:v>
      </x:c>
      <x:c r="G10"/>
    </x:row>
    <x:row r="11">
      <x:c r="A11" s="300" t="str">
        <x:v>Dashboard band total equals open risks</x:v>
      </x:c>
      <x:c r="B11" s="300" t="n">
        <x:f>SUM('Dashboard Data'!$B$5:$B$8)</x:f>
        <x:v>5</x:v>
      </x:c>
      <x:c r="C11" s="300" t="n">
        <x:v>5</x:v>
      </x:c>
      <x:c r="D11" s="300" t="n">
        <x:f>B11-C11</x:f>
        <x:v>0</x:v>
      </x:c>
      <x:c r="E11" s="300" t="n">
        <x:v>0</x:v>
      </x:c>
      <x:c r="F11" s="363" t="str">
        <x:f>IF(ABS(D11)&lt;=E11,"OK","CHECK")</x:f>
        <x:v>OK</x:v>
      </x:c>
      <x:c r="G11"/>
    </x:row>
    <x:row r="12">
      <x:c r="A12" s="300" t="str">
        <x:v>Dashboard category total equals open risks</x:v>
      </x:c>
      <x:c r="B12" s="300" t="n">
        <x:f>SUM('Dashboard Data'!$E$5:$E$11)</x:f>
        <x:v>5</x:v>
      </x:c>
      <x:c r="C12" s="300" t="n">
        <x:v>5</x:v>
      </x:c>
      <x:c r="D12" s="300" t="n">
        <x:f>B12-C12</x:f>
        <x:v>0</x:v>
      </x:c>
      <x:c r="E12" s="300" t="n">
        <x:v>0</x:v>
      </x:c>
      <x:c r="F12" s="363" t="str">
        <x:f>IF(ABS(D12)&lt;=E12,"OK","CHECK")</x:f>
        <x:v>OK</x:v>
      </x:c>
    </x:row>
    <x:row r="13">
      <x:c r="A13" s="300" t="str">
        <x:v>Generic comparison entity count</x:v>
      </x:c>
      <x:c r="B13" s="300" t="n">
        <x:f>COUNTA('Credit Comparison'!$B$4:$E$4)</x:f>
        <x:v>4</x:v>
      </x:c>
      <x:c r="C13" s="300" t="n">
        <x:v>4</x:v>
      </x:c>
      <x:c r="D13" s="300" t="n">
        <x:f>B13-C13</x:f>
        <x:v>0</x:v>
      </x:c>
      <x:c r="E13" s="300" t="n">
        <x:v>0</x:v>
      </x:c>
      <x:c r="F13" s="363" t="str">
        <x:f>IF(ABS(D13)&lt;=E13,"OK","CHECK")</x:f>
        <x:v>OK</x:v>
      </x:c>
    </x:row>
    <x:row r="14">
      <x:c r="A14" s="300" t="str">
        <x:v>Workbook status</x:v>
      </x:c>
      <x:c r="B14" s="300"/>
      <x:c r="C14" s="300"/>
      <x:c r="D14" s="300"/>
      <x:c r="E14" s="300"/>
      <x:c r="F14" s="363" t="str">
        <x:f>IF(COUNTIF(F6:F13,"CHECK")=0,"OK","CHECK")</x:f>
        <x:v>OK</x:v>
      </x:c>
    </x:row>
    <x:row r="16">
      <x:c r="A16" s="559" t="str">
        <x:v>Confidentiality check performed during production: no supplied ICS entity names, vendor logos, proprietary scores or source financial values are present in this workbook. Generic examples use fictional Entity A–D labels only.</x:v>
      </x:c>
      <x:c r="B16" s="559" t="str">
        <x:v>Confidentiality check performed during production: no supplied ICS entity names, vendor logos, proprietary scores or source financial values are present in this workbook. Generic examples use fictional Entity A–D labels only.</x:v>
      </x:c>
      <x:c r="C16" s="559" t="str">
        <x:v>Confidentiality check performed during production: no supplied ICS entity names, vendor logos, proprietary scores or source financial values are present in this workbook. Generic examples use fictional Entity A–D labels only.</x:v>
      </x:c>
      <x:c r="D16" s="559" t="str">
        <x:v>Confidentiality check performed during production: no supplied ICS entity names, vendor logos, proprietary scores or source financial values are present in this workbook. Generic examples use fictional Entity A–D labels only.</x:v>
      </x:c>
      <x:c r="E16" s="559" t="str">
        <x:v>Confidentiality check performed during production: no supplied ICS entity names, vendor logos, proprietary scores or source financial values are present in this workbook. Generic examples use fictional Entity A–D labels only.</x:v>
      </x:c>
      <x:c r="F16" s="559" t="str">
        <x:v>Confidentiality check performed during production: no supplied ICS entity names, vendor logos, proprietary scores or source financial values are present in this workbook. Generic examples use fictional Entity A–D labels only.</x:v>
      </x:c>
      <x:c r="G16" s="559" t="str">
        <x:v>Confidentiality check performed during production: no supplied ICS entity names, vendor logos, proprietary scores or source financial values are present in this workbook. Generic examples use fictional Entity A–D labels only.</x:v>
      </x:c>
    </x:row>
    <x:row r="17">
      <x:c r="A17" s="559" t="str">
        <x:v>Confidentiality check performed during production: no supplied ICS entity names, vendor logos, proprietary scores or source financial values are present in this workbook. Generic examples use fictional Entity A–D labels only.</x:v>
      </x:c>
      <x:c r="B17" s="559" t="str">
        <x:v>Confidentiality check performed during production: no supplied ICS entity names, vendor logos, proprietary scores or source financial values are present in this workbook. Generic examples use fictional Entity A–D labels only.</x:v>
      </x:c>
      <x:c r="C17" s="559" t="str">
        <x:v>Confidentiality check performed during production: no supplied ICS entity names, vendor logos, proprietary scores or source financial values are present in this workbook. Generic examples use fictional Entity A–D labels only.</x:v>
      </x:c>
      <x:c r="D17" s="559" t="str">
        <x:v>Confidentiality check performed during production: no supplied ICS entity names, vendor logos, proprietary scores or source financial values are present in this workbook. Generic examples use fictional Entity A–D labels only.</x:v>
      </x:c>
      <x:c r="E17" s="559" t="str">
        <x:v>Confidentiality check performed during production: no supplied ICS entity names, vendor logos, proprietary scores or source financial values are present in this workbook. Generic examples use fictional Entity A–D labels only.</x:v>
      </x:c>
      <x:c r="F17" s="559" t="str">
        <x:v>Confidentiality check performed during production: no supplied ICS entity names, vendor logos, proprietary scores or source financial values are present in this workbook. Generic examples use fictional Entity A–D labels only.</x:v>
      </x:c>
      <x:c r="G17" s="559" t="str">
        <x:v>Confidentiality check performed during production: no supplied ICS entity names, vendor logos, proprietary scores or source financial values are present in this workbook. Generic examples use fictional Entity A–D labels only.</x:v>
      </x:c>
    </x:row>
    <x:row r="18">
      <x:c r="A18" s="559" t="str">
        <x:v>Confidentiality check performed during production: no supplied ICS entity names, vendor logos, proprietary scores or source financial values are present in this workbook. Generic examples use fictional Entity A–D labels only.</x:v>
      </x:c>
      <x:c r="B18" s="559" t="str">
        <x:v>Confidentiality check performed during production: no supplied ICS entity names, vendor logos, proprietary scores or source financial values are present in this workbook. Generic examples use fictional Entity A–D labels only.</x:v>
      </x:c>
      <x:c r="C18" s="559" t="str">
        <x:v>Confidentiality check performed during production: no supplied ICS entity names, vendor logos, proprietary scores or source financial values are present in this workbook. Generic examples use fictional Entity A–D labels only.</x:v>
      </x:c>
      <x:c r="D18" s="559" t="str">
        <x:v>Confidentiality check performed during production: no supplied ICS entity names, vendor logos, proprietary scores or source financial values are present in this workbook. Generic examples use fictional Entity A–D labels only.</x:v>
      </x:c>
      <x:c r="E18" s="559" t="str">
        <x:v>Confidentiality check performed during production: no supplied ICS entity names, vendor logos, proprietary scores or source financial values are present in this workbook. Generic examples use fictional Entity A–D labels only.</x:v>
      </x:c>
      <x:c r="F18" s="559" t="str">
        <x:v>Confidentiality check performed during production: no supplied ICS entity names, vendor logos, proprietary scores or source financial values are present in this workbook. Generic examples use fictional Entity A–D labels only.</x:v>
      </x:c>
      <x:c r="G18" s="559" t="str">
        <x:v>Confidentiality check performed during production: no supplied ICS entity names, vendor logos, proprietary scores or source financial values are present in this workbook. Generic examples use fictional Entity A–D labels only.</x:v>
      </x:c>
    </x:row>
  </x:sheetData>
  <x:mergeCells>
    <x:mergeCell ref="A1:G1"/>
    <x:mergeCell ref="A2:G2"/>
    <x:mergeCell ref="A16:G18"/>
  </x:mergeCells>
  <x:conditionalFormatting sqref="F6:F11">
    <x:cfRule type="containsText" dxfId="23" priority="1" operator="containsText" text="OK"/>
    <x:cfRule type="containsText" dxfId="24" priority="2" operator="containsText" text="CHECK"/>
  </x:conditionalFormatting>
  <x:pageMargins left="0.7" right="0.7" top="0.75" bottom="0.75" header="0.3" footer="0.3"/>
  <x:drawing xmlns:r="http://schemas.openxmlformats.org/officeDocument/2006/relationships" r:id="R6d303642e2d04580"/>
</x:worksheet>
</file>

<file path=xl/worksheets/sheet10.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40" hidden="0" customWidth="1"/>
    <x:col min="4" max="4" width="14" hidden="0" customWidth="1"/>
    <x:col min="5" max="5" width="14" hidden="0" customWidth="1"/>
    <x:col min="6" max="6" width="16" hidden="0" customWidth="1"/>
    <x:col min="7" max="7" width="14" hidden="0" customWidth="1"/>
    <x:col min="8" max="8" width="2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s>
  <x:sheetData>
    <x:row r="1" ht="34" customHeight="1">
      <x:c r="A1" s="260" t="str">
        <x:v>Dashboard Data &amp; BI Staging</x:v>
      </x:c>
      <x:c r="B1" s="260" t="str">
        <x:v>Dashboard Data &amp; BI Staging</x:v>
      </x:c>
      <x:c r="C1" s="260" t="str">
        <x:v>Dashboard Data &amp; BI Staging</x:v>
      </x:c>
      <x:c r="D1" s="260" t="str">
        <x:v>Dashboard Data &amp; BI Staging</x:v>
      </x:c>
      <x:c r="E1" s="260" t="str">
        <x:v>Dashboard Data &amp; BI Staging</x:v>
      </x:c>
      <x:c r="F1" s="260" t="str">
        <x:v>Dashboard Data &amp; BI Staging</x:v>
      </x:c>
      <x:c r="G1" s="260" t="str">
        <x:v>Dashboard Data &amp; BI Staging</x:v>
      </x:c>
      <x:c r="H1" s="260" t="str">
        <x:v>Dashboard Data &amp; BI Staging</x:v>
      </x:c>
      <x:c r="I1" s="260" t="str">
        <x:v>Dashboard Data &amp; BI Staging</x:v>
      </x:c>
      <x:c r="J1" s="260" t="str">
        <x:v>Dashboard Data &amp; BI Staging</x:v>
      </x:c>
      <x:c r="K1" s="260" t="str">
        <x:v>Dashboard Data &amp; BI Staging</x:v>
      </x:c>
      <x:c r="L1" s="260" t="str">
        <x:v>Dashboard Data &amp; BI Staging</x:v>
      </x:c>
      <x:c r="M1" s="260" t="str">
        <x:v>Dashboard Data &amp; BI Staging</x:v>
      </x:c>
      <x:c r="N1" s="260" t="str">
        <x:v>Dashboard Data &amp; BI Staging</x:v>
      </x:c>
      <x:c r="O1" s="260" t="str">
        <x:v>Dashboard Data &amp; BI Staging</x:v>
      </x:c>
      <x:c r="P1" s="260" t="str">
        <x:v>Dashboard Data &amp; BI Staging</x:v>
      </x:c>
      <x:c r="Q1" s="260" t="str">
        <x:v>Dashboard Data &amp; BI Staging</x:v>
      </x:c>
    </x:row>
    <x:row r="2" ht="32" customHeight="1">
      <x:c r="A2" s="264" t="str">
        <x:v>Formula-linked chart drivers for Excel and sanitised starter tables for Power BI/Tableau. Prior-period trend values are illustrative inputs; the current period is linked to live workbook data.</x:v>
      </x:c>
      <x:c r="B2" s="264" t="str">
        <x:v>Formula-linked chart drivers for Excel and sanitised starter tables for Power BI/Tableau. Prior-period trend values are illustrative inputs; the current period is linked to live workbook data.</x:v>
      </x:c>
      <x:c r="C2" s="264" t="str">
        <x:v>Formula-linked chart drivers for Excel and sanitised starter tables for Power BI/Tableau. Prior-period trend values are illustrative inputs; the current period is linked to live workbook data.</x:v>
      </x:c>
      <x:c r="D2" s="264" t="str">
        <x:v>Formula-linked chart drivers for Excel and sanitised starter tables for Power BI/Tableau. Prior-period trend values are illustrative inputs; the current period is linked to live workbook data.</x:v>
      </x:c>
      <x:c r="E2" s="264" t="str">
        <x:v>Formula-linked chart drivers for Excel and sanitised starter tables for Power BI/Tableau. Prior-period trend values are illustrative inputs; the current period is linked to live workbook data.</x:v>
      </x:c>
      <x:c r="F2" s="264" t="str">
        <x:v>Formula-linked chart drivers for Excel and sanitised starter tables for Power BI/Tableau. Prior-period trend values are illustrative inputs; the current period is linked to live workbook data.</x:v>
      </x:c>
      <x:c r="G2" s="264" t="str">
        <x:v>Formula-linked chart drivers for Excel and sanitised starter tables for Power BI/Tableau. Prior-period trend values are illustrative inputs; the current period is linked to live workbook data.</x:v>
      </x:c>
      <x:c r="H2" s="264" t="str">
        <x:v>Formula-linked chart drivers for Excel and sanitised starter tables for Power BI/Tableau. Prior-period trend values are illustrative inputs; the current period is linked to live workbook data.</x:v>
      </x:c>
      <x:c r="I2" s="264" t="str">
        <x:v>Formula-linked chart drivers for Excel and sanitised starter tables for Power BI/Tableau. Prior-period trend values are illustrative inputs; the current period is linked to live workbook data.</x:v>
      </x:c>
      <x:c r="J2" s="264" t="str">
        <x:v>Formula-linked chart drivers for Excel and sanitised starter tables for Power BI/Tableau. Prior-period trend values are illustrative inputs; the current period is linked to live workbook data.</x:v>
      </x:c>
      <x:c r="K2" s="264" t="str">
        <x:v>Formula-linked chart drivers for Excel and sanitised starter tables for Power BI/Tableau. Prior-period trend values are illustrative inputs; the current period is linked to live workbook data.</x:v>
      </x:c>
      <x:c r="L2" s="264" t="str">
        <x:v>Formula-linked chart drivers for Excel and sanitised starter tables for Power BI/Tableau. Prior-period trend values are illustrative inputs; the current period is linked to live workbook data.</x:v>
      </x:c>
      <x:c r="M2" s="264" t="str">
        <x:v>Formula-linked chart drivers for Excel and sanitised starter tables for Power BI/Tableau. Prior-period trend values are illustrative inputs; the current period is linked to live workbook data.</x:v>
      </x:c>
      <x:c r="N2" s="264" t="str">
        <x:v>Formula-linked chart drivers for Excel and sanitised starter tables for Power BI/Tableau. Prior-period trend values are illustrative inputs; the current period is linked to live workbook data.</x:v>
      </x:c>
      <x:c r="O2" s="264" t="str">
        <x:v>Formula-linked chart drivers for Excel and sanitised starter tables for Power BI/Tableau. Prior-period trend values are illustrative inputs; the current period is linked to live workbook data.</x:v>
      </x:c>
      <x:c r="P2" s="264" t="str">
        <x:v>Formula-linked chart drivers for Excel and sanitised starter tables for Power BI/Tableau. Prior-period trend values are illustrative inputs; the current period is linked to live workbook data.</x:v>
      </x:c>
      <x:c r="Q2" s="264" t="str">
        <x:v>Formula-linked chart drivers for Excel and sanitised starter tables for Power BI/Tableau. Prior-period trend values are illustrative inputs; the current period is linked to live workbook data.</x:v>
      </x:c>
    </x:row>
    <x:row r="4" ht="30" customHeight="1">
      <x:c r="A4" s="346" t="str">
        <x:v>Residual score band</x:v>
      </x:c>
      <x:c r="B4" s="346" t="str">
        <x:v>Risk count</x:v>
      </x:c>
      <x:c r="D4" s="346" t="str">
        <x:v>Risk category</x:v>
      </x:c>
      <x:c r="E4" s="346" t="str">
        <x:v>Open risks</x:v>
      </x:c>
      <x:c r="G4" s="346" t="str">
        <x:v>Month</x:v>
      </x:c>
      <x:c r="H4" s="346" t="str">
        <x:v>Open risks</x:v>
      </x:c>
      <x:c r="I4" s="346" t="str">
        <x:v>High / severe</x:v>
      </x:c>
      <x:c r="J4" s="346" t="str">
        <x:v>Appetite breaches</x:v>
      </x:c>
      <x:c r="L4" s="346" t="str">
        <x:v>Impact \ Likelihood</x:v>
      </x:c>
      <x:c r="M4" s="346" t="n">
        <x:v>1</x:v>
      </x:c>
      <x:c r="N4" s="346" t="n">
        <x:v>2</x:v>
      </x:c>
      <x:c r="O4" s="346" t="n">
        <x:v>3</x:v>
      </x:c>
      <x:c r="P4" s="346" t="n">
        <x:v>4</x:v>
      </x:c>
      <x:c r="Q4" s="346" t="n">
        <x:v>5</x:v>
      </x:c>
    </x:row>
    <x:row r="5">
      <x:c r="A5" s="300" t="str">
        <x:v>Low (1–4)</x:v>
      </x:c>
      <x:c r="B5" s="347" t="n">
        <x:f>COUNTIFS('Risk Register'!$N$8:$N$207,"&gt;=1",'Risk Register'!$N$8:$N$207,"&lt;=4")</x:f>
        <x:v>0</x:v>
      </x:c>
      <x:c r="D5" s="300" t="str">
        <x:v>Liquidity</x:v>
      </x:c>
      <x:c r="E5" s="347" t="n">
        <x:f>COUNTIFS('Risk Register'!$A$8:$A$207,"&lt;&gt;",'Risk Register'!$B$8:$B$207,D5,'Risk Register'!$S$8:$S$207,"&lt;&gt;Closed")</x:f>
        <x:v>1</x:v>
      </x:c>
      <x:c r="G5" s="348" t="str">
        <x:v>Mar-26</x:v>
      </x:c>
      <x:c r="H5" s="348" t="n">
        <x:v>4</x:v>
      </x:c>
      <x:c r="I5" s="348" t="n">
        <x:v>1</x:v>
      </x:c>
      <x:c r="J5" s="348" t="n">
        <x:v>0</x:v>
      </x:c>
      <x:c r="L5" s="300" t="n">
        <x:v>5</x:v>
      </x:c>
      <x:c r="M5" s="364" t="n">
        <x:f>COUNTIFS('Risk Register'!$L$8:$L$207,1,'Risk Register'!$M$8:$M$207,5)</x:f>
        <x:v>0</x:v>
      </x:c>
      <x:c r="N5" s="365" t="n">
        <x:f>COUNTIFS('Risk Register'!$L$8:$L$207,2,'Risk Register'!$M$8:$M$207,5)</x:f>
        <x:v>0</x:v>
      </x:c>
      <x:c r="O5" s="366" t="n">
        <x:f>COUNTIFS('Risk Register'!$L$8:$L$207,3,'Risk Register'!$M$8:$M$207,5)</x:f>
        <x:v>1</x:v>
      </x:c>
      <x:c r="P5" s="366" t="n">
        <x:f>COUNTIFS('Risk Register'!$L$8:$L$207,4,'Risk Register'!$M$8:$M$207,5)</x:f>
        <x:v>0</x:v>
      </x:c>
      <x:c r="Q5" s="366" t="n">
        <x:f>COUNTIFS('Risk Register'!$L$8:$L$207,5,'Risk Register'!$M$8:$M$207,5)</x:f>
        <x:v>0</x:v>
      </x:c>
    </x:row>
    <x:row r="6">
      <x:c r="A6" s="300" t="str">
        <x:v>Moderate (5–9)</x:v>
      </x:c>
      <x:c r="B6" s="347" t="n">
        <x:f>COUNTIFS('Risk Register'!$N$8:$N$207,"&gt;=5",'Risk Register'!$N$8:$N$207,"&lt;=9")</x:f>
        <x:v>3</x:v>
      </x:c>
      <x:c r="D6" s="300" t="str">
        <x:v>Credit</x:v>
      </x:c>
      <x:c r="E6" s="347" t="n">
        <x:f>COUNTIFS('Risk Register'!$A$8:$A$207,"&lt;&gt;",'Risk Register'!$B$8:$B$207,D6,'Risk Register'!$S$8:$S$207,"&lt;&gt;Closed")</x:f>
        <x:v>1</x:v>
      </x:c>
      <x:c r="G6" s="348" t="str">
        <x:v>Apr-26</x:v>
      </x:c>
      <x:c r="H6" s="348" t="n">
        <x:v>5</x:v>
      </x:c>
      <x:c r="I6" s="348" t="n">
        <x:v>1</x:v>
      </x:c>
      <x:c r="J6" s="348" t="n">
        <x:v>1</x:v>
      </x:c>
      <x:c r="L6" s="300" t="n">
        <x:v>4</x:v>
      </x:c>
      <x:c r="M6" s="367" t="n">
        <x:f>COUNTIFS('Risk Register'!$L$8:$L$207,1,'Risk Register'!$M$8:$M$207,4)</x:f>
        <x:v>0</x:v>
      </x:c>
      <x:c r="N6" s="364" t="n">
        <x:f>COUNTIFS('Risk Register'!$L$8:$L$207,2,'Risk Register'!$M$8:$M$207,4)</x:f>
        <x:v>3</x:v>
      </x:c>
      <x:c r="O6" s="365" t="n">
        <x:f>COUNTIFS('Risk Register'!$L$8:$L$207,3,'Risk Register'!$M$8:$M$207,4)</x:f>
        <x:v>1</x:v>
      </x:c>
      <x:c r="P6" s="366" t="n">
        <x:f>COUNTIFS('Risk Register'!$L$8:$L$207,4,'Risk Register'!$M$8:$M$207,4)</x:f>
        <x:v>0</x:v>
      </x:c>
      <x:c r="Q6" s="366" t="n">
        <x:f>COUNTIFS('Risk Register'!$L$8:$L$207,5,'Risk Register'!$M$8:$M$207,4)</x:f>
        <x:v>0</x:v>
      </x:c>
    </x:row>
    <x:row r="7">
      <x:c r="A7" s="300" t="str">
        <x:v>High (10–14)</x:v>
      </x:c>
      <x:c r="B7" s="347" t="n">
        <x:f>COUNTIFS('Risk Register'!$N$8:$N$207,"&gt;=10",'Risk Register'!$N$8:$N$207,"&lt;=14")</x:f>
        <x:v>1</x:v>
      </x:c>
      <x:c r="D7" s="300" t="str">
        <x:v>Operational</x:v>
      </x:c>
      <x:c r="E7" s="347" t="n">
        <x:f>COUNTIFS('Risk Register'!$A$8:$A$207,"&lt;&gt;",'Risk Register'!$B$8:$B$207,D7,'Risk Register'!$S$8:$S$207,"&lt;&gt;Closed")</x:f>
        <x:v>1</x:v>
      </x:c>
      <x:c r="G7" s="348" t="str">
        <x:v>May-26</x:v>
      </x:c>
      <x:c r="H7" s="348" t="n">
        <x:v>6</x:v>
      </x:c>
      <x:c r="I7" s="348" t="n">
        <x:v>2</x:v>
      </x:c>
      <x:c r="J7" s="348" t="n">
        <x:v>1</x:v>
      </x:c>
      <x:c r="L7" s="300" t="n">
        <x:v>3</x:v>
      </x:c>
      <x:c r="M7" s="367" t="n">
        <x:f>COUNTIFS('Risk Register'!$L$8:$L$207,1,'Risk Register'!$M$8:$M$207,3)</x:f>
        <x:v>0</x:v>
      </x:c>
      <x:c r="N7" s="364" t="n">
        <x:f>COUNTIFS('Risk Register'!$L$8:$L$207,2,'Risk Register'!$M$8:$M$207,3)</x:f>
        <x:v>0</x:v>
      </x:c>
      <x:c r="O7" s="364" t="n">
        <x:f>COUNTIFS('Risk Register'!$L$8:$L$207,3,'Risk Register'!$M$8:$M$207,3)</x:f>
        <x:v>0</x:v>
      </x:c>
      <x:c r="P7" s="365" t="n">
        <x:f>COUNTIFS('Risk Register'!$L$8:$L$207,4,'Risk Register'!$M$8:$M$207,3)</x:f>
        <x:v>0</x:v>
      </x:c>
      <x:c r="Q7" s="366" t="n">
        <x:f>COUNTIFS('Risk Register'!$L$8:$L$207,5,'Risk Register'!$M$8:$M$207,3)</x:f>
        <x:v>0</x:v>
      </x:c>
    </x:row>
    <x:row r="8">
      <x:c r="A8" s="300" t="str">
        <x:v>Severe (15–25)</x:v>
      </x:c>
      <x:c r="B8" s="347" t="n">
        <x:f>COUNTIFS('Risk Register'!$N$8:$N$207,"&gt;=15",'Risk Register'!$N$8:$N$207,"&lt;=25")</x:f>
        <x:v>1</x:v>
      </x:c>
      <x:c r="D8" s="300" t="str">
        <x:v>Technology</x:v>
      </x:c>
      <x:c r="E8" s="347" t="n">
        <x:f>COUNTIFS('Risk Register'!$A$8:$A$207,"&lt;&gt;",'Risk Register'!$B$8:$B$207,D8,'Risk Register'!$S$8:$S$207,"&lt;&gt;Closed")</x:f>
        <x:v>1</x:v>
      </x:c>
      <x:c r="G8" s="348" t="str">
        <x:v>Jun-26</x:v>
      </x:c>
      <x:c r="H8" s="348" t="n">
        <x:v>6</x:v>
      </x:c>
      <x:c r="I8" s="348" t="n">
        <x:v>2</x:v>
      </x:c>
      <x:c r="J8" s="348" t="n">
        <x:v>2</x:v>
      </x:c>
      <x:c r="L8" s="300" t="n">
        <x:v>2</x:v>
      </x:c>
      <x:c r="M8" s="367" t="n">
        <x:f>COUNTIFS('Risk Register'!$L$8:$L$207,1,'Risk Register'!$M$8:$M$207,2)</x:f>
        <x:v>0</x:v>
      </x:c>
      <x:c r="N8" s="367" t="n">
        <x:f>COUNTIFS('Risk Register'!$L$8:$L$207,2,'Risk Register'!$M$8:$M$207,2)</x:f>
        <x:v>0</x:v>
      </x:c>
      <x:c r="O8" s="364" t="n">
        <x:f>COUNTIFS('Risk Register'!$L$8:$L$207,3,'Risk Register'!$M$8:$M$207,2)</x:f>
        <x:v>0</x:v>
      </x:c>
      <x:c r="P8" s="364" t="n">
        <x:f>COUNTIFS('Risk Register'!$L$8:$L$207,4,'Risk Register'!$M$8:$M$207,2)</x:f>
        <x:v>0</x:v>
      </x:c>
      <x:c r="Q8" s="365" t="n">
        <x:f>COUNTIFS('Risk Register'!$L$8:$L$207,5,'Risk Register'!$M$8:$M$207,2)</x:f>
        <x:v>0</x:v>
      </x:c>
    </x:row>
    <x:row r="9">
      <x:c r="D9" s="300" t="str">
        <x:v>Conduct</x:v>
      </x:c>
      <x:c r="E9" s="347" t="n">
        <x:f>COUNTIFS('Risk Register'!$A$8:$A$207,"&lt;&gt;",'Risk Register'!$B$8:$B$207,D9,'Risk Register'!$S$8:$S$207,"&lt;&gt;Closed")</x:f>
        <x:v>1</x:v>
      </x:c>
      <x:c r="G9" s="348" t="str">
        <x:v>Jul-26</x:v>
      </x:c>
      <x:c r="H9" s="348" t="n">
        <x:v>5</x:v>
      </x:c>
      <x:c r="I9" s="348" t="n">
        <x:v>2</x:v>
      </x:c>
      <x:c r="J9" s="348" t="n">
        <x:v>1</x:v>
      </x:c>
      <x:c r="L9" s="300" t="n">
        <x:v>1</x:v>
      </x:c>
      <x:c r="M9" s="367" t="n">
        <x:f>COUNTIFS('Risk Register'!$L$8:$L$207,1,'Risk Register'!$M$8:$M$207,1)</x:f>
        <x:v>0</x:v>
      </x:c>
      <x:c r="N9" s="367" t="n">
        <x:f>COUNTIFS('Risk Register'!$L$8:$L$207,2,'Risk Register'!$M$8:$M$207,1)</x:f>
        <x:v>0</x:v>
      </x:c>
      <x:c r="O9" s="367" t="n">
        <x:f>COUNTIFS('Risk Register'!$L$8:$L$207,3,'Risk Register'!$M$8:$M$207,1)</x:f>
        <x:v>0</x:v>
      </x:c>
      <x:c r="P9" s="367" t="n">
        <x:f>COUNTIFS('Risk Register'!$L$8:$L$207,4,'Risk Register'!$M$8:$M$207,1)</x:f>
        <x:v>0</x:v>
      </x:c>
      <x:c r="Q9" s="364" t="n">
        <x:f>COUNTIFS('Risk Register'!$L$8:$L$207,5,'Risk Register'!$M$8:$M$207,1)</x:f>
        <x:v>0</x:v>
      </x:c>
    </x:row>
    <x:row r="10">
      <x:c r="D10" s="300" t="str">
        <x:v>Regulatory reporting</x:v>
      </x:c>
      <x:c r="E10" s="347" t="n">
        <x:f>COUNTIFS('Risk Register'!$A$8:$A$207,"&lt;&gt;",'Risk Register'!$B$8:$B$207,D10,'Risk Register'!$S$8:$S$207,"&lt;&gt;Closed")</x:f>
        <x:v>0</x:v>
      </x:c>
      <x:c r="G10" s="300" t="str">
        <x:v>Aug-26</x:v>
      </x:c>
      <x:c r="H10" s="347" t="n">
        <x:f>COUNTIFS('Risk Register'!$A$8:$A$207,"&lt;&gt;",'Risk Register'!$S$8:$S$207,"&lt;&gt;Closed")</x:f>
        <x:v>5</x:v>
      </x:c>
      <x:c r="I10" s="347" t="n">
        <x:f>COUNTIF('Risk Register'!$N$8:$N$207,"&gt;=10")</x:f>
        <x:v>2</x:v>
      </x:c>
      <x:c r="J10" s="347" t="n">
        <x:f>COUNTIF('Risk Register'!$O$8:$O$207,"Breached")</x:f>
        <x:v>1</x:v>
      </x:c>
    </x:row>
    <x:row r="11">
      <x:c r="D11" s="300" t="str">
        <x:v>Other</x:v>
      </x:c>
      <x:c r="E11" s="347" t="n">
        <x:f>MAX(0,COUNTIFS('Risk Register'!$A$8:$A$207,"&lt;&gt;",'Risk Register'!$S$8:$S$207,"&lt;&gt;Closed")-SUM(E5:E10))</x:f>
        <x:v>0</x:v>
      </x:c>
    </x:row>
    <x:row r="14" ht="30" customHeight="1">
      <x:c r="A14" s="346" t="str">
        <x:v>Risk ID</x:v>
      </x:c>
      <x:c r="B14" s="346" t="str">
        <x:v>Category</x:v>
      </x:c>
      <x:c r="C14" s="346" t="str">
        <x:v>Risk event</x:v>
      </x:c>
      <x:c r="D14" s="346" t="str">
        <x:v>Owner</x:v>
      </x:c>
      <x:c r="E14" s="346" t="str">
        <x:v>Residual score</x:v>
      </x:c>
      <x:c r="F14" s="346" t="str">
        <x:v>Status</x:v>
      </x:c>
      <x:c r="H14" s="346" t="str">
        <x:v>Metric</x:v>
      </x:c>
      <x:c r="I14" s="346" t="str">
        <x:v>Entity A</x:v>
      </x:c>
      <x:c r="J14" s="346" t="str">
        <x:v>Entity B</x:v>
      </x:c>
      <x:c r="K14" s="346" t="str">
        <x:v>Entity C</x:v>
      </x:c>
      <x:c r="L14" s="346" t="str">
        <x:v>Entity D</x:v>
      </x:c>
      <x:c r="M14" s="346" t="str">
        <x:v>Unit</x:v>
      </x:c>
    </x:row>
    <x:row r="15">
      <x:c r="A15" s="347" t="str">
        <x:f>'Risk Register'!A8</x:f>
        <x:v>RR-001</x:v>
      </x:c>
      <x:c r="B15" s="347" t="str">
        <x:f>'Risk Register'!B8</x:f>
        <x:v>Liquidity</x:v>
      </x:c>
      <x:c r="C15" s="347" t="str">
        <x:f>'Risk Register'!C8</x:f>
        <x:v>Insufficient liquid resources during a severe but plausible stress</x:v>
      </x:c>
      <x:c r="D15" s="347" t="str">
        <x:f>'Risk Register'!F8</x:f>
        <x:v>Head of Treasury</x:v>
      </x:c>
      <x:c r="E15" s="347" t="n">
        <x:f>'Risk Register'!N8</x:f>
        <x:v>15</x:v>
      </x:c>
      <x:c r="F15" s="347" t="str">
        <x:f>'Risk Register'!S8</x:f>
        <x:v>In progress</x:v>
      </x:c>
      <x:c r="H15" s="300" t="str">
        <x:v>Total exposure</x:v>
      </x:c>
      <x:c r="I15" s="368" t="n">
        <x:v>18400000</x:v>
      </x:c>
      <x:c r="J15" s="368" t="n">
        <x:v>13200000</x:v>
      </x:c>
      <x:c r="K15" s="368" t="n">
        <x:v>9800000</x:v>
      </x:c>
      <x:c r="L15" s="368" t="n">
        <x:v>6300000</x:v>
      </x:c>
      <x:c r="M15" s="300" t="str">
        <x:v>GBP</x:v>
      </x:c>
    </x:row>
    <x:row r="16">
      <x:c r="A16" s="347" t="str">
        <x:f>'Risk Register'!A10</x:f>
        <x:v>RR-003</x:v>
      </x:c>
      <x:c r="B16" s="347" t="str">
        <x:f>'Risk Register'!B10</x:f>
        <x:v>Operational</x:v>
      </x:c>
      <x:c r="C16" s="347" t="str">
        <x:f>'Risk Register'!C10</x:f>
        <x:v>Critical regulatory report is inaccurate or late</x:v>
      </x:c>
      <x:c r="D16" s="347" t="str">
        <x:f>'Risk Register'!F10</x:f>
        <x:v>COO</x:v>
      </x:c>
      <x:c r="E16" s="347" t="n">
        <x:f>'Risk Register'!N10</x:f>
        <x:v>12</x:v>
      </x:c>
      <x:c r="F16" s="347" t="str">
        <x:f>'Risk Register'!S10</x:f>
        <x:v>Open</x:v>
      </x:c>
      <x:c r="H16" s="300" t="str">
        <x:v>Limit utilisation</x:v>
      </x:c>
      <x:c r="I16" s="369" t="n">
        <x:v>0.74</x:v>
      </x:c>
      <x:c r="J16" s="369" t="n">
        <x:v>0.88</x:v>
      </x:c>
      <x:c r="K16" s="369" t="n">
        <x:v>0.52</x:v>
      </x:c>
      <x:c r="L16" s="369" t="n">
        <x:v>0.63</x:v>
      </x:c>
      <x:c r="M16" s="300" t="str">
        <x:v>%</x:v>
      </x:c>
    </x:row>
    <x:row r="17">
      <x:c r="A17" s="347" t="str">
        <x:f>'Risk Register'!A9</x:f>
        <x:v>RR-002</x:v>
      </x:c>
      <x:c r="B17" s="347" t="str">
        <x:f>'Risk Register'!B9</x:f>
        <x:v>Credit</x:v>
      </x:c>
      <x:c r="C17" s="347" t="str">
        <x:f>'Risk Register'!C9</x:f>
        <x:v>Material counterparty default creates loss and replacement-cost exposure</x:v>
      </x:c>
      <x:c r="D17" s="347" t="str">
        <x:f>'Risk Register'!F9</x:f>
        <x:v>Head of Credit Risk</x:v>
      </x:c>
      <x:c r="E17" s="347" t="n">
        <x:f>'Risk Register'!N9</x:f>
        <x:v>8</x:v>
      </x:c>
      <x:c r="F17" s="347" t="str">
        <x:f>'Risk Register'!S9</x:f>
        <x:v>In progress</x:v>
      </x:c>
      <x:c r="H17" s="300" t="str">
        <x:v>PD</x:v>
      </x:c>
      <x:c r="I17" s="369" t="n">
        <x:v>0.004</x:v>
      </x:c>
      <x:c r="J17" s="369" t="n">
        <x:v>0.012</x:v>
      </x:c>
      <x:c r="K17" s="369" t="n">
        <x:v>0.006</x:v>
      </x:c>
      <x:c r="L17" s="369" t="n">
        <x:v>0.02</x:v>
      </x:c>
      <x:c r="M17" s="300" t="str">
        <x:v>%</x:v>
      </x:c>
    </x:row>
    <x:row r="18">
      <x:c r="A18" s="347" t="str">
        <x:f>'Risk Register'!A11</x:f>
        <x:v>RR-004</x:v>
      </x:c>
      <x:c r="B18" s="347" t="str">
        <x:f>'Risk Register'!B11</x:f>
        <x:v>Technology</x:v>
      </x:c>
      <x:c r="C18" s="347" t="str">
        <x:f>'Risk Register'!C11</x:f>
        <x:v>Material outage affects client-facing and risk systems</x:v>
      </x:c>
      <x:c r="D18" s="347" t="str">
        <x:f>'Risk Register'!F11</x:f>
        <x:v>CTO</x:v>
      </x:c>
      <x:c r="E18" s="347" t="n">
        <x:f>'Risk Register'!N11</x:f>
        <x:v>8</x:v>
      </x:c>
      <x:c r="F18" s="347" t="str">
        <x:f>'Risk Register'!S11</x:f>
        <x:v>Open</x:v>
      </x:c>
      <x:c r="H18" s="300" t="str">
        <x:v>LGD</x:v>
      </x:c>
      <x:c r="I18" s="369" t="n">
        <x:v>0.4</x:v>
      </x:c>
      <x:c r="J18" s="369" t="n">
        <x:v>0.5</x:v>
      </x:c>
      <x:c r="K18" s="369" t="n">
        <x:v>0.35</x:v>
      </x:c>
      <x:c r="L18" s="369" t="n">
        <x:v>0.55</x:v>
      </x:c>
      <x:c r="M18" s="300" t="str">
        <x:v>%</x:v>
      </x:c>
    </x:row>
    <x:row r="19">
      <x:c r="A19" s="347" t="str">
        <x:f>'Risk Register'!A12</x:f>
        <x:v>RR-005</x:v>
      </x:c>
      <x:c r="B19" s="347" t="str">
        <x:f>'Risk Register'!B12</x:f>
        <x:v>Conduct</x:v>
      </x:c>
      <x:c r="C19" s="347" t="str">
        <x:f>'Risk Register'!C12</x:f>
        <x:v>Product or service outcomes do not meet customer expectations</x:v>
      </x:c>
      <x:c r="D19" s="347" t="str">
        <x:f>'Risk Register'!F12</x:f>
        <x:v>Chief Compliance Officer</x:v>
      </x:c>
      <x:c r="E19" s="347" t="n">
        <x:f>'Risk Register'!N12</x:f>
        <x:v>8</x:v>
      </x:c>
      <x:c r="F19" s="347" t="str">
        <x:f>'Risk Register'!S12</x:f>
        <x:v>In progress</x:v>
      </x:c>
      <x:c r="H19" s="300" t="str">
        <x:v>Expected loss</x:v>
      </x:c>
      <x:c r="I19" s="368" t="n">
        <x:v>29440</x:v>
      </x:c>
      <x:c r="J19" s="368" t="n">
        <x:v>79200</x:v>
      </x:c>
      <x:c r="K19" s="368" t="n">
        <x:v>20580</x:v>
      </x:c>
      <x:c r="L19" s="368" t="n">
        <x:v>69300</x:v>
      </x:c>
      <x:c r="M19" s="300" t="str">
        <x:v>GBP</x:v>
      </x:c>
    </x:row>
    <x:row r="20">
      <x:c r="H20" s="300" t="str">
        <x:v>Internal score</x:v>
      </x:c>
      <x:c r="I20" s="348" t="n">
        <x:v>2.1</x:v>
      </x:c>
      <x:c r="J20" s="348" t="n">
        <x:v>3.4</x:v>
      </x:c>
      <x:c r="K20" s="348" t="n">
        <x:v>2.5</x:v>
      </x:c>
      <x:c r="L20" s="348" t="n">
        <x:v>4</x:v>
      </x:c>
      <x:c r="M20" s="300" t="str">
        <x:v>1 strong – 5 weak</x:v>
      </x:c>
    </x:row>
    <x:row r="22">
      <x:c r="A22" s="379" t="str">
        <x:v>Control note: Keep prior-period dashboard snapshots outside this workbook or add them as locked input rows. The latest trend row is formula-linked; earlier rows are blue illustrative inputs so data lineage remains visible.</x:v>
      </x:c>
      <x:c r="B22" s="380" t="str">
        <x:v>Control note: Keep prior-period dashboard snapshots outside this workbook or add them as locked input rows. The latest trend row is formula-linked; earlier rows are blue illustrative inputs so data lineage remains visible.</x:v>
      </x:c>
      <x:c r="C22" s="380" t="str">
        <x:v>Control note: Keep prior-period dashboard snapshots outside this workbook or add them as locked input rows. The latest trend row is formula-linked; earlier rows are blue illustrative inputs so data lineage remains visible.</x:v>
      </x:c>
      <x:c r="D22" s="380" t="str">
        <x:v>Control note: Keep prior-period dashboard snapshots outside this workbook or add them as locked input rows. The latest trend row is formula-linked; earlier rows are blue illustrative inputs so data lineage remains visible.</x:v>
      </x:c>
      <x:c r="E22" s="380" t="str">
        <x:v>Control note: Keep prior-period dashboard snapshots outside this workbook or add them as locked input rows. The latest trend row is formula-linked; earlier rows are blue illustrative inputs so data lineage remains visible.</x:v>
      </x:c>
      <x:c r="F22" s="380" t="str">
        <x:v>Control note: Keep prior-period dashboard snapshots outside this workbook or add them as locked input rows. The latest trend row is formula-linked; earlier rows are blue illustrative inputs so data lineage remains visible.</x:v>
      </x:c>
      <x:c r="G22" s="380" t="str">
        <x:v>Control note: Keep prior-period dashboard snapshots outside this workbook or add them as locked input rows. The latest trend row is formula-linked; earlier rows are blue illustrative inputs so data lineage remains visible.</x:v>
      </x:c>
      <x:c r="H22" s="380" t="str">
        <x:v>Control note: Keep prior-period dashboard snapshots outside this workbook or add them as locked input rows. The latest trend row is formula-linked; earlier rows are blue illustrative inputs so data lineage remains visible.</x:v>
      </x:c>
      <x:c r="I22" s="380" t="str">
        <x:v>Control note: Keep prior-period dashboard snapshots outside this workbook or add them as locked input rows. The latest trend row is formula-linked; earlier rows are blue illustrative inputs so data lineage remains visible.</x:v>
      </x:c>
      <x:c r="J22" s="380" t="str">
        <x:v>Control note: Keep prior-period dashboard snapshots outside this workbook or add them as locked input rows. The latest trend row is formula-linked; earlier rows are blue illustrative inputs so data lineage remains visible.</x:v>
      </x:c>
      <x:c r="K22" s="380" t="str">
        <x:v>Control note: Keep prior-period dashboard snapshots outside this workbook or add them as locked input rows. The latest trend row is formula-linked; earlier rows are blue illustrative inputs so data lineage remains visible.</x:v>
      </x:c>
      <x:c r="L22" s="380" t="str">
        <x:v>Control note: Keep prior-period dashboard snapshots outside this workbook or add them as locked input rows. The latest trend row is formula-linked; earlier rows are blue illustrative inputs so data lineage remains visible.</x:v>
      </x:c>
      <x:c r="M22" s="380" t="str">
        <x:v>Control note: Keep prior-period dashboard snapshots outside this workbook or add them as locked input rows. The latest trend row is formula-linked; earlier rows are blue illustrative inputs so data lineage remains visible.</x:v>
      </x:c>
      <x:c r="N22" s="380" t="str">
        <x:v>Control note: Keep prior-period dashboard snapshots outside this workbook or add them as locked input rows. The latest trend row is formula-linked; earlier rows are blue illustrative inputs so data lineage remains visible.</x:v>
      </x:c>
      <x:c r="O22" s="380" t="str">
        <x:v>Control note: Keep prior-period dashboard snapshots outside this workbook or add them as locked input rows. The latest trend row is formula-linked; earlier rows are blue illustrative inputs so data lineage remains visible.</x:v>
      </x:c>
      <x:c r="P22" s="380" t="str">
        <x:v>Control note: Keep prior-period dashboard snapshots outside this workbook or add them as locked input rows. The latest trend row is formula-linked; earlier rows are blue illustrative inputs so data lineage remains visible.</x:v>
      </x:c>
      <x:c r="Q22" s="381" t="str">
        <x:v>Control note: Keep prior-period dashboard snapshots outside this workbook or add them as locked input rows. The latest trend row is formula-linked; earlier rows are blue illustrative inputs so data lineage remains visible.</x:v>
      </x:c>
    </x:row>
    <x:row r="23">
      <x:c r="A23" s="382" t="str">
        <x:v>Control note: Keep prior-period dashboard snapshots outside this workbook or add them as locked input rows. The latest trend row is formula-linked; earlier rows are blue illustrative inputs so data lineage remains visible.</x:v>
      </x:c>
      <x:c r="B23" s="383" t="str">
        <x:v>Control note: Keep prior-period dashboard snapshots outside this workbook or add them as locked input rows. The latest trend row is formula-linked; earlier rows are blue illustrative inputs so data lineage remains visible.</x:v>
      </x:c>
      <x:c r="C23" s="383" t="str">
        <x:v>Control note: Keep prior-period dashboard snapshots outside this workbook or add them as locked input rows. The latest trend row is formula-linked; earlier rows are blue illustrative inputs so data lineage remains visible.</x:v>
      </x:c>
      <x:c r="D23" s="383" t="str">
        <x:v>Control note: Keep prior-period dashboard snapshots outside this workbook or add them as locked input rows. The latest trend row is formula-linked; earlier rows are blue illustrative inputs so data lineage remains visible.</x:v>
      </x:c>
      <x:c r="E23" s="383" t="str">
        <x:v>Control note: Keep prior-period dashboard snapshots outside this workbook or add them as locked input rows. The latest trend row is formula-linked; earlier rows are blue illustrative inputs so data lineage remains visible.</x:v>
      </x:c>
      <x:c r="F23" s="383" t="str">
        <x:v>Control note: Keep prior-period dashboard snapshots outside this workbook or add them as locked input rows. The latest trend row is formula-linked; earlier rows are blue illustrative inputs so data lineage remains visible.</x:v>
      </x:c>
      <x:c r="G23" s="383" t="str">
        <x:v>Control note: Keep prior-period dashboard snapshots outside this workbook or add them as locked input rows. The latest trend row is formula-linked; earlier rows are blue illustrative inputs so data lineage remains visible.</x:v>
      </x:c>
      <x:c r="H23" s="383" t="str">
        <x:v>Control note: Keep prior-period dashboard snapshots outside this workbook or add them as locked input rows. The latest trend row is formula-linked; earlier rows are blue illustrative inputs so data lineage remains visible.</x:v>
      </x:c>
      <x:c r="I23" s="383" t="str">
        <x:v>Control note: Keep prior-period dashboard snapshots outside this workbook or add them as locked input rows. The latest trend row is formula-linked; earlier rows are blue illustrative inputs so data lineage remains visible.</x:v>
      </x:c>
      <x:c r="J23" s="383" t="str">
        <x:v>Control note: Keep prior-period dashboard snapshots outside this workbook or add them as locked input rows. The latest trend row is formula-linked; earlier rows are blue illustrative inputs so data lineage remains visible.</x:v>
      </x:c>
      <x:c r="K23" s="383" t="str">
        <x:v>Control note: Keep prior-period dashboard snapshots outside this workbook or add them as locked input rows. The latest trend row is formula-linked; earlier rows are blue illustrative inputs so data lineage remains visible.</x:v>
      </x:c>
      <x:c r="L23" s="383" t="str">
        <x:v>Control note: Keep prior-period dashboard snapshots outside this workbook or add them as locked input rows. The latest trend row is formula-linked; earlier rows are blue illustrative inputs so data lineage remains visible.</x:v>
      </x:c>
      <x:c r="M23" s="383" t="str">
        <x:v>Control note: Keep prior-period dashboard snapshots outside this workbook or add them as locked input rows. The latest trend row is formula-linked; earlier rows are blue illustrative inputs so data lineage remains visible.</x:v>
      </x:c>
      <x:c r="N23" s="383" t="str">
        <x:v>Control note: Keep prior-period dashboard snapshots outside this workbook or add them as locked input rows. The latest trend row is formula-linked; earlier rows are blue illustrative inputs so data lineage remains visible.</x:v>
      </x:c>
      <x:c r="O23" s="383" t="str">
        <x:v>Control note: Keep prior-period dashboard snapshots outside this workbook or add them as locked input rows. The latest trend row is formula-linked; earlier rows are blue illustrative inputs so data lineage remains visible.</x:v>
      </x:c>
      <x:c r="P23" s="383" t="str">
        <x:v>Control note: Keep prior-period dashboard snapshots outside this workbook or add them as locked input rows. The latest trend row is formula-linked; earlier rows are blue illustrative inputs so data lineage remains visible.</x:v>
      </x:c>
      <x:c r="Q23" s="384" t="str">
        <x:v>Control note: Keep prior-period dashboard snapshots outside this workbook or add them as locked input rows. The latest trend row is formula-linked; earlier rows are blue illustrative inputs so data lineage remains visible.</x:v>
      </x:c>
    </x:row>
    <x:row r="24">
      <x:c r="A24" s="385" t="str">
        <x:v>Control note: Keep prior-period dashboard snapshots outside this workbook or add them as locked input rows. The latest trend row is formula-linked; earlier rows are blue illustrative inputs so data lineage remains visible.</x:v>
      </x:c>
      <x:c r="B24" s="386" t="str">
        <x:v>Control note: Keep prior-period dashboard snapshots outside this workbook or add them as locked input rows. The latest trend row is formula-linked; earlier rows are blue illustrative inputs so data lineage remains visible.</x:v>
      </x:c>
      <x:c r="C24" s="386" t="str">
        <x:v>Control note: Keep prior-period dashboard snapshots outside this workbook or add them as locked input rows. The latest trend row is formula-linked; earlier rows are blue illustrative inputs so data lineage remains visible.</x:v>
      </x:c>
      <x:c r="D24" s="386" t="str">
        <x:v>Control note: Keep prior-period dashboard snapshots outside this workbook or add them as locked input rows. The latest trend row is formula-linked; earlier rows are blue illustrative inputs so data lineage remains visible.</x:v>
      </x:c>
      <x:c r="E24" s="386" t="str">
        <x:v>Control note: Keep prior-period dashboard snapshots outside this workbook or add them as locked input rows. The latest trend row is formula-linked; earlier rows are blue illustrative inputs so data lineage remains visible.</x:v>
      </x:c>
      <x:c r="F24" s="386" t="str">
        <x:v>Control note: Keep prior-period dashboard snapshots outside this workbook or add them as locked input rows. The latest trend row is formula-linked; earlier rows are blue illustrative inputs so data lineage remains visible.</x:v>
      </x:c>
      <x:c r="G24" s="386" t="str">
        <x:v>Control note: Keep prior-period dashboard snapshots outside this workbook or add them as locked input rows. The latest trend row is formula-linked; earlier rows are blue illustrative inputs so data lineage remains visible.</x:v>
      </x:c>
      <x:c r="H24" s="386" t="str">
        <x:v>Control note: Keep prior-period dashboard snapshots outside this workbook or add them as locked input rows. The latest trend row is formula-linked; earlier rows are blue illustrative inputs so data lineage remains visible.</x:v>
      </x:c>
      <x:c r="I24" s="386" t="str">
        <x:v>Control note: Keep prior-period dashboard snapshots outside this workbook or add them as locked input rows. The latest trend row is formula-linked; earlier rows are blue illustrative inputs so data lineage remains visible.</x:v>
      </x:c>
      <x:c r="J24" s="386" t="str">
        <x:v>Control note: Keep prior-period dashboard snapshots outside this workbook or add them as locked input rows. The latest trend row is formula-linked; earlier rows are blue illustrative inputs so data lineage remains visible.</x:v>
      </x:c>
      <x:c r="K24" s="386" t="str">
        <x:v>Control note: Keep prior-period dashboard snapshots outside this workbook or add them as locked input rows. The latest trend row is formula-linked; earlier rows are blue illustrative inputs so data lineage remains visible.</x:v>
      </x:c>
      <x:c r="L24" s="386" t="str">
        <x:v>Control note: Keep prior-period dashboard snapshots outside this workbook or add them as locked input rows. The latest trend row is formula-linked; earlier rows are blue illustrative inputs so data lineage remains visible.</x:v>
      </x:c>
      <x:c r="M24" s="386" t="str">
        <x:v>Control note: Keep prior-period dashboard snapshots outside this workbook or add them as locked input rows. The latest trend row is formula-linked; earlier rows are blue illustrative inputs so data lineage remains visible.</x:v>
      </x:c>
      <x:c r="N24" s="386" t="str">
        <x:v>Control note: Keep prior-period dashboard snapshots outside this workbook or add them as locked input rows. The latest trend row is formula-linked; earlier rows are blue illustrative inputs so data lineage remains visible.</x:v>
      </x:c>
      <x:c r="O24" s="386" t="str">
        <x:v>Control note: Keep prior-period dashboard snapshots outside this workbook or add them as locked input rows. The latest trend row is formula-linked; earlier rows are blue illustrative inputs so data lineage remains visible.</x:v>
      </x:c>
      <x:c r="P24" s="386" t="str">
        <x:v>Control note: Keep prior-period dashboard snapshots outside this workbook or add them as locked input rows. The latest trend row is formula-linked; earlier rows are blue illustrative inputs so data lineage remains visible.</x:v>
      </x:c>
      <x:c r="Q24" s="387" t="str">
        <x:v>Control note: Keep prior-period dashboard snapshots outside this workbook or add them as locked input rows. The latest trend row is formula-linked; earlier rows are blue illustrative inputs so data lineage remains visible.</x:v>
      </x:c>
    </x:row>
  </x:sheetData>
  <x:mergeCells>
    <x:mergeCell ref="A1:Q1"/>
    <x:mergeCell ref="A2:Q2"/>
    <x:mergeCell ref="A22:Q24"/>
  </x:mergeCells>
  <x:pageMargins left="0.7" right="0.7" top="0.75" bottom="0.75" header="0.3" footer="0.3"/>
  <x:drawing xmlns:r="http://schemas.openxmlformats.org/officeDocument/2006/relationships" r:id="Ra2bd042911be4c31"/>
</x:worksheet>
</file>

<file path=xl/worksheets/sheet11.xml><?xml version="1.0" encoding="utf-8"?>
<x:worksheet xmlns:x="http://schemas.openxmlformats.org/spreadsheetml/2006/main">
  <x:sheetViews>
    <x:sheetView showGridLines="0" workbookViewId="0"/>
  </x:sheetViews>
  <x:sheetFormatPr defaultRowHeight="15"/>
  <x:cols>
    <x:col min="1" max="1" width="26" hidden="0" customWidth="1"/>
    <x:col min="2" max="2" width="18" hidden="0" customWidth="1"/>
    <x:col min="3" max="3" width="13" hidden="0" customWidth="1"/>
    <x:col min="4" max="4" width="13" hidden="0" customWidth="1"/>
    <x:col min="5" max="5" width="13" hidden="0" customWidth="1"/>
    <x:col min="6" max="6" width="28"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34" customHeight="1">
      <x:c r="A1" s="260" t="str">
        <x:v>Internal Credit Score (ICS) Assessment — Generic Example</x:v>
      </x:c>
      <x:c r="B1" s="260" t="str">
        <x:v>Internal Credit Score (ICS) Assessment — Generic Example</x:v>
      </x:c>
      <x:c r="C1" s="260" t="str">
        <x:v>Internal Credit Score (ICS) Assessment — Generic Example</x:v>
      </x:c>
      <x:c r="D1" s="260" t="str">
        <x:v>Internal Credit Score (ICS) Assessment — Generic Example</x:v>
      </x:c>
      <x:c r="E1" s="260" t="str">
        <x:v>Internal Credit Score (ICS) Assessment — Generic Example</x:v>
      </x:c>
      <x:c r="F1" s="260" t="str">
        <x:v>Internal Credit Score (ICS) Assessment — Generic Example</x:v>
      </x:c>
      <x:c r="G1" s="260" t="str">
        <x:v>Internal Credit Score (ICS) Assessment — Generic Example</x:v>
      </x:c>
      <x:c r="H1" s="260" t="str">
        <x:v>Internal Credit Score (ICS) Assessment — Generic Example</x:v>
      </x:c>
      <x:c r="I1" s="260" t="str">
        <x:v>Internal Credit Score (ICS) Assessment — Generic Example</x:v>
      </x:c>
      <x:c r="J1" s="260" t="str">
        <x:v>Internal Credit Score (ICS) Assessment — Generic Example</x:v>
      </x:c>
      <x:c r="K1" s="260" t="str">
        <x:v>Internal Credit Score (ICS) Assessment — Generic Example</x:v>
      </x:c>
      <x:c r="L1" s="260" t="str">
        <x:v>Internal Credit Score (ICS) Assessment — Generic Example</x:v>
      </x:c>
      <x:c r="M1" s="260" t="str">
        <x:v>Internal Credit Score (ICS) Assessment — Generic Example</x:v>
      </x:c>
      <x:c r="N1" s="260" t="str">
        <x:v>Internal Credit Score (ICS) Assessment — Generic Example</x:v>
      </x:c>
    </x:row>
    <x:row r="2" ht="32" customHeight="1">
      <x:c r="A2" s="264" t="str">
        <x:v>Sanitised source assessment for the ICS dashboard. Entity labels and values are fictional; calibrate every metric, threshold, weight and approval to client policy.</x:v>
      </x:c>
      <x:c r="B2" s="264" t="str">
        <x:v>Sanitised source assessment for the ICS dashboard. Entity labels and values are fictional; calibrate every metric, threshold, weight and approval to client policy.</x:v>
      </x:c>
      <x:c r="C2" s="264" t="str">
        <x:v>Sanitised source assessment for the ICS dashboard. Entity labels and values are fictional; calibrate every metric, threshold, weight and approval to client policy.</x:v>
      </x:c>
      <x:c r="D2" s="264" t="str">
        <x:v>Sanitised source assessment for the ICS dashboard. Entity labels and values are fictional; calibrate every metric, threshold, weight and approval to client policy.</x:v>
      </x:c>
      <x:c r="E2" s="264" t="str">
        <x:v>Sanitised source assessment for the ICS dashboard. Entity labels and values are fictional; calibrate every metric, threshold, weight and approval to client policy.</x:v>
      </x:c>
      <x:c r="F2" s="264" t="str">
        <x:v>Sanitised source assessment for the ICS dashboard. Entity labels and values are fictional; calibrate every metric, threshold, weight and approval to client policy.</x:v>
      </x:c>
      <x:c r="G2" s="264" t="str">
        <x:v>Sanitised source assessment for the ICS dashboard. Entity labels and values are fictional; calibrate every metric, threshold, weight and approval to client policy.</x:v>
      </x:c>
      <x:c r="H2" s="264" t="str">
        <x:v>Sanitised source assessment for the ICS dashboard. Entity labels and values are fictional; calibrate every metric, threshold, weight and approval to client policy.</x:v>
      </x:c>
      <x:c r="I2" s="264" t="str">
        <x:v>Sanitised source assessment for the ICS dashboard. Entity labels and values are fictional; calibrate every metric, threshold, weight and approval to client policy.</x:v>
      </x:c>
      <x:c r="J2" s="264" t="str">
        <x:v>Sanitised source assessment for the ICS dashboard. Entity labels and values are fictional; calibrate every metric, threshold, weight and approval to client policy.</x:v>
      </x:c>
      <x:c r="K2" s="264" t="str">
        <x:v>Sanitised source assessment for the ICS dashboard. Entity labels and values are fictional; calibrate every metric, threshold, weight and approval to client policy.</x:v>
      </x:c>
      <x:c r="L2" s="264" t="str">
        <x:v>Sanitised source assessment for the ICS dashboard. Entity labels and values are fictional; calibrate every metric, threshold, weight and approval to client policy.</x:v>
      </x:c>
      <x:c r="M2" s="264" t="str">
        <x:v>Sanitised source assessment for the ICS dashboard. Entity labels and values are fictional; calibrate every metric, threshold, weight and approval to client policy.</x:v>
      </x:c>
      <x:c r="N2" s="264" t="str">
        <x:v>Sanitised source assessment for the ICS dashboard. Entity labels and values are fictional; calibrate every metric, threshold, weight and approval to client policy.</x:v>
      </x:c>
    </x:row>
    <x:row r="4" ht="24" customHeight="1">
      <x:c r="A4" s="268" t="str">
        <x:v>Assessment profile</x:v>
      </x:c>
      <x:c r="B4" s="268" t="str">
        <x:v>Assessment profile</x:v>
      </x:c>
      <x:c r="C4" s="268" t="str">
        <x:v>Assessment profile</x:v>
      </x:c>
      <x:c r="D4" s="268" t="str">
        <x:v>Assessment profile</x:v>
      </x:c>
      <x:c r="E4" s="268" t="str">
        <x:v>Assessment profile</x:v>
      </x:c>
      <x:c r="F4" s="268" t="str">
        <x:v>Assessment profile</x:v>
      </x:c>
      <x:c r="G4" s="268" t="str">
        <x:v>Assessment profile</x:v>
      </x:c>
      <x:c r="H4" s="268" t="str">
        <x:v>Credit conclusion</x:v>
      </x:c>
      <x:c r="I4" s="268" t="str">
        <x:v>Credit conclusion</x:v>
      </x:c>
      <x:c r="J4" s="268" t="str">
        <x:v>Credit conclusion</x:v>
      </x:c>
      <x:c r="K4" s="268" t="str">
        <x:v>Credit conclusion</x:v>
      </x:c>
      <x:c r="L4" s="268" t="str">
        <x:v>Credit conclusion</x:v>
      </x:c>
      <x:c r="M4" s="268" t="str">
        <x:v>Credit conclusion</x:v>
      </x:c>
      <x:c r="N4" s="268" t="str">
        <x:v>Credit conclusion</x:v>
      </x:c>
    </x:row>
    <x:row r="5">
      <x:c r="A5" s="300" t="str">
        <x:v>Counterparty</x:v>
      </x:c>
      <x:c r="B5" s="300"/>
      <x:c r="C5" s="574" t="str">
        <x:v>Entity A</x:v>
      </x:c>
      <x:c r="D5" s="574" t="str">
        <x:v>Entity A</x:v>
      </x:c>
      <x:c r="E5" s="574" t="str">
        <x:v>Entity A</x:v>
      </x:c>
      <x:c r="F5" s="574" t="str">
        <x:v>Entity A</x:v>
      </x:c>
      <x:c r="H5" s="579" t="str">
        <x:v>Quantitative score</x:v>
      </x:c>
      <x:c r="I5" s="579" t="str">
        <x:v>Quantitative score</x:v>
      </x:c>
      <x:c r="J5" s="579" t="str">
        <x:v>Quantitative score</x:v>
      </x:c>
      <x:c r="K5" s="580" t="n">
        <x:f>ROUND(SUM(F25:F30),1)</x:f>
        <x:v>2.5</x:v>
      </x:c>
      <x:c r="L5" s="580"/>
      <x:c r="M5" s="580"/>
      <x:c r="N5" s="580"/>
    </x:row>
    <x:row r="6">
      <x:c r="A6" s="300" t="str">
        <x:v>Assessment date</x:v>
      </x:c>
      <x:c r="B6" s="300"/>
      <x:c r="C6" s="575" t="n">
        <x:v>46264</x:v>
      </x:c>
      <x:c r="D6" s="575" t="n">
        <x:v>46264</x:v>
      </x:c>
      <x:c r="E6" s="575" t="n">
        <x:v>46264</x:v>
      </x:c>
      <x:c r="F6" s="575" t="n">
        <x:v>46264</x:v>
      </x:c>
      <x:c r="H6" s="579" t="str">
        <x:v>Qualitative score</x:v>
      </x:c>
      <x:c r="I6" s="579" t="str">
        <x:v>Qualitative score</x:v>
      </x:c>
      <x:c r="J6" s="579" t="str">
        <x:v>Qualitative score</x:v>
      </x:c>
      <x:c r="K6" s="580" t="n">
        <x:f>ROUND(SUMPRODUCT(C34:C38,D34:D38),1)</x:f>
        <x:v>2.6</x:v>
      </x:c>
      <x:c r="L6" s="580"/>
      <x:c r="M6" s="580"/>
      <x:c r="N6" s="580"/>
    </x:row>
    <x:row r="7">
      <x:c r="A7" s="300" t="str">
        <x:v>Reviewer</x:v>
      </x:c>
      <x:c r="B7" s="300"/>
      <x:c r="C7" s="574" t="str">
        <x:v>Credit Risk Analyst</x:v>
      </x:c>
      <x:c r="D7" s="574" t="str">
        <x:v>Credit Risk Analyst</x:v>
      </x:c>
      <x:c r="E7" s="574" t="str">
        <x:v>Credit Risk Analyst</x:v>
      </x:c>
      <x:c r="F7" s="574" t="str">
        <x:v>Credit Risk Analyst</x:v>
      </x:c>
      <x:c r="H7" s="579" t="str">
        <x:v>Adjustment</x:v>
      </x:c>
      <x:c r="I7" s="579" t="str">
        <x:v>Adjustment</x:v>
      </x:c>
      <x:c r="J7" s="579" t="str">
        <x:v>Adjustment</x:v>
      </x:c>
      <x:c r="K7" s="580" t="n">
        <x:f>C40</x:f>
        <x:v>0</x:v>
      </x:c>
      <x:c r="L7" s="580"/>
      <x:c r="M7" s="580"/>
      <x:c r="N7" s="580"/>
    </x:row>
    <x:row r="8">
      <x:c r="A8" s="300" t="str">
        <x:v>Review trigger</x:v>
      </x:c>
      <x:c r="B8" s="300"/>
      <x:c r="C8" s="574" t="str">
        <x:v>Annual review</x:v>
      </x:c>
      <x:c r="D8" s="574" t="str">
        <x:v>Annual review</x:v>
      </x:c>
      <x:c r="E8" s="574" t="str">
        <x:v>Annual review</x:v>
      </x:c>
      <x:c r="F8" s="574" t="str">
        <x:v>Annual review</x:v>
      </x:c>
      <x:c r="H8" s="579" t="str">
        <x:v>Final internal score</x:v>
      </x:c>
      <x:c r="I8" s="579" t="str">
        <x:v>Final internal score</x:v>
      </x:c>
      <x:c r="J8" s="579" t="str">
        <x:v>Final internal score</x:v>
      </x:c>
      <x:c r="K8" s="580" t="n">
        <x:f>MAX(1,MIN(5,ROUND(K5*70%+K6*30%+K7,1)))</x:f>
        <x:v>2.5</x:v>
      </x:c>
      <x:c r="L8" s="580"/>
      <x:c r="M8" s="580"/>
      <x:c r="N8" s="580"/>
    </x:row>
    <x:row r="9">
      <x:c r="H9" s="579" t="str">
        <x:v>Indicative grade</x:v>
      </x:c>
      <x:c r="I9" s="579" t="str">
        <x:v>Indicative grade</x:v>
      </x:c>
      <x:c r="J9" s="579" t="str">
        <x:v>Indicative grade</x:v>
      </x:c>
      <x:c r="K9" s="579" t="str">
        <x:f>IF(K8&lt;=1.5,"Strong",IF(K8&lt;=2.5,"Good",IF(K8&lt;=3.5,"Satisfactory",IF(K8&lt;=4.5,"Weak","High risk"))))</x:f>
        <x:v>Good</x:v>
      </x:c>
      <x:c r="L9" s="579"/>
      <x:c r="M9" s="579"/>
      <x:c r="N9" s="579"/>
    </x:row>
    <x:row r="10" ht="24" customHeight="1">
      <x:c r="A10" s="268" t="str">
        <x:v>Illustrative financial profile</x:v>
      </x:c>
      <x:c r="B10" s="268" t="str">
        <x:v>Illustrative financial profile</x:v>
      </x:c>
      <x:c r="C10" s="268" t="str">
        <x:v>Illustrative financial profile</x:v>
      </x:c>
      <x:c r="D10" s="268" t="str">
        <x:v>Illustrative financial profile</x:v>
      </x:c>
      <x:c r="E10" s="268" t="str">
        <x:v>Illustrative financial profile</x:v>
      </x:c>
      <x:c r="F10" s="268" t="str">
        <x:v>Illustrative financial profile</x:v>
      </x:c>
    </x:row>
    <x:row r="11" ht="30" customHeight="1">
      <x:c r="A11" s="346" t="str">
        <x:v>Metric</x:v>
      </x:c>
      <x:c r="B11" s="346" t="str">
        <x:v>Unit</x:v>
      </x:c>
      <x:c r="C11" s="346" t="str">
        <x:v>Year T</x:v>
      </x:c>
      <x:c r="D11" s="346" t="str">
        <x:v>Year T-1</x:v>
      </x:c>
      <x:c r="E11" s="346" t="str">
        <x:v>Change</x:v>
      </x:c>
      <x:c r="F11" s="346" t="str">
        <x:v>Assessment note</x:v>
      </x:c>
    </x:row>
    <x:row r="12">
      <x:c r="A12" s="300" t="str">
        <x:v>Revenue</x:v>
      </x:c>
      <x:c r="B12" s="300" t="str">
        <x:v>£m</x:v>
      </x:c>
      <x:c r="C12" s="576" t="n">
        <x:v>420</x:v>
      </x:c>
      <x:c r="D12" s="576" t="n">
        <x:v>395</x:v>
      </x:c>
      <x:c r="E12" s="577" t="n">
        <x:f>IFERROR(C12/D12-1,0)</x:f>
        <x:v>0.06329113924050622</x:v>
      </x:c>
      <x:c r="F12" s="348" t="str">
        <x:v>Stable growth</x:v>
      </x:c>
    </x:row>
    <x:row r="13">
      <x:c r="A13" s="300" t="str">
        <x:v>EBITDA</x:v>
      </x:c>
      <x:c r="B13" s="300" t="str">
        <x:v>£m</x:v>
      </x:c>
      <x:c r="C13" s="576" t="n">
        <x:v>72</x:v>
      </x:c>
      <x:c r="D13" s="576" t="n">
        <x:v>68</x:v>
      </x:c>
      <x:c r="E13" s="577" t="n">
        <x:f>IFERROR(C13/D13-1,0)</x:f>
        <x:v>0.05882352941176472</x:v>
      </x:c>
      <x:c r="F13" s="348" t="str">
        <x:v>Margin broadly stable</x:v>
      </x:c>
    </x:row>
    <x:row r="14">
      <x:c r="A14" s="300" t="str">
        <x:v>EBIT</x:v>
      </x:c>
      <x:c r="B14" s="300" t="str">
        <x:v>£m</x:v>
      </x:c>
      <x:c r="C14" s="576" t="n">
        <x:v>58</x:v>
      </x:c>
      <x:c r="D14" s="576" t="n">
        <x:v>54</x:v>
      </x:c>
      <x:c r="E14" s="577" t="n">
        <x:f>IFERROR(C14/D14-1,0)</x:f>
        <x:v>0.07407407407407418</x:v>
      </x:c>
      <x:c r="F14" s="348" t="str">
        <x:v>Positive operating result</x:v>
      </x:c>
    </x:row>
    <x:row r="15">
      <x:c r="A15" s="300" t="str">
        <x:v>Interest expense</x:v>
      </x:c>
      <x:c r="B15" s="300" t="str">
        <x:v>£m</x:v>
      </x:c>
      <x:c r="C15" s="576" t="n">
        <x:v>12</x:v>
      </x:c>
      <x:c r="D15" s="576" t="n">
        <x:v>11</x:v>
      </x:c>
      <x:c r="E15" s="577" t="n">
        <x:f>IFERROR(C15/D15-1,0)</x:f>
        <x:v>0.09090909090909083</x:v>
      </x:c>
      <x:c r="F15" s="348" t="str">
        <x:v>Covered by operating profit</x:v>
      </x:c>
    </x:row>
    <x:row r="16">
      <x:c r="A16" s="300" t="str">
        <x:v>Total assets</x:v>
      </x:c>
      <x:c r="B16" s="300" t="str">
        <x:v>£m</x:v>
      </x:c>
      <x:c r="C16" s="576" t="n">
        <x:v>610</x:v>
      </x:c>
      <x:c r="D16" s="576" t="n">
        <x:v>585</x:v>
      </x:c>
      <x:c r="E16" s="577" t="n">
        <x:f>IFERROR(C16/D16-1,0)</x:f>
        <x:v>0.042735042735042805</x:v>
      </x:c>
      <x:c r="F16" s="348" t="str">
        <x:v>Moderate expansion</x:v>
      </x:c>
    </x:row>
    <x:row r="17">
      <x:c r="A17" s="300" t="str">
        <x:v>Cash</x:v>
      </x:c>
      <x:c r="B17" s="300" t="str">
        <x:v>£m</x:v>
      </x:c>
      <x:c r="C17" s="576" t="n">
        <x:v>96</x:v>
      </x:c>
      <x:c r="D17" s="576" t="n">
        <x:v>88</x:v>
      </x:c>
      <x:c r="E17" s="577" t="n">
        <x:f>IFERROR(C17/D17-1,0)</x:f>
        <x:v>0.09090909090909083</x:v>
      </x:c>
      <x:c r="F17" s="348" t="str">
        <x:v>Adequate liquidity</x:v>
      </x:c>
    </x:row>
    <x:row r="18">
      <x:c r="A18" s="300" t="str">
        <x:v>Total debt</x:v>
      </x:c>
      <x:c r="B18" s="300" t="str">
        <x:v>£m</x:v>
      </x:c>
      <x:c r="C18" s="576" t="n">
        <x:v>215</x:v>
      </x:c>
      <x:c r="D18" s="576" t="n">
        <x:v>205</x:v>
      </x:c>
      <x:c r="E18" s="577" t="n">
        <x:f>IFERROR(C18/D18-1,0)</x:f>
        <x:v>0.04878048780487809</x:v>
      </x:c>
      <x:c r="F18" s="348" t="str">
        <x:v>Leverage monitored</x:v>
      </x:c>
    </x:row>
    <x:row r="19">
      <x:c r="A19" s="300" t="str">
        <x:v>Equity</x:v>
      </x:c>
      <x:c r="B19" s="300" t="str">
        <x:v>£m</x:v>
      </x:c>
      <x:c r="C19" s="576" t="n">
        <x:v>245</x:v>
      </x:c>
      <x:c r="D19" s="576" t="n">
        <x:v>232</x:v>
      </x:c>
      <x:c r="E19" s="577" t="n">
        <x:f>IFERROR(C19/D19-1,0)</x:f>
        <x:v>0.056034482758620774</x:v>
      </x:c>
      <x:c r="F19" s="348" t="str">
        <x:v>Positive capital base</x:v>
      </x:c>
    </x:row>
    <x:row r="20">
      <x:c r="A20" s="300" t="str">
        <x:v>Net profit</x:v>
      </x:c>
      <x:c r="B20" s="300" t="str">
        <x:v>£m</x:v>
      </x:c>
      <x:c r="C20" s="576" t="n">
        <x:v>38</x:v>
      </x:c>
      <x:c r="D20" s="576" t="n">
        <x:v>35</x:v>
      </x:c>
      <x:c r="E20" s="577" t="n">
        <x:f>IFERROR(C20/D20-1,0)</x:f>
        <x:v>0.08571428571428563</x:v>
      </x:c>
      <x:c r="F20" s="348" t="str">
        <x:v>Profitable</x:v>
      </x:c>
    </x:row>
    <x:row r="21">
      <x:c r="A21" s="300" t="str">
        <x:v>Operating cash flow</x:v>
      </x:c>
      <x:c r="B21" s="300" t="str">
        <x:v>£m</x:v>
      </x:c>
      <x:c r="C21" s="576" t="n">
        <x:v>63</x:v>
      </x:c>
      <x:c r="D21" s="576" t="n">
        <x:v>59</x:v>
      </x:c>
      <x:c r="E21" s="577" t="n">
        <x:f>IFERROR(C21/D21-1,0)</x:f>
        <x:v>0.06779661016949157</x:v>
      </x:c>
      <x:c r="F21" s="348" t="str">
        <x:v>Positive cash generation</x:v>
      </x:c>
    </x:row>
    <x:row r="23" ht="24" customHeight="1">
      <x:c r="A23" s="268" t="str">
        <x:v>Quantitative ratio scorecard</x:v>
      </x:c>
      <x:c r="B23" s="268" t="str">
        <x:v>Quantitative ratio scorecard</x:v>
      </x:c>
      <x:c r="C23" s="268" t="str">
        <x:v>Quantitative ratio scorecard</x:v>
      </x:c>
      <x:c r="D23" s="268" t="str">
        <x:v>Quantitative ratio scorecard</x:v>
      </x:c>
      <x:c r="E23" s="268" t="str">
        <x:v>Quantitative ratio scorecard</x:v>
      </x:c>
      <x:c r="F23" s="268" t="str">
        <x:v>Quantitative ratio scorecard</x:v>
      </x:c>
    </x:row>
    <x:row r="24" ht="30" customHeight="1">
      <x:c r="A24" s="346" t="str">
        <x:v>Ratio</x:v>
      </x:c>
      <x:c r="B24" s="346" t="str">
        <x:v>Formula result</x:v>
      </x:c>
      <x:c r="C24" s="346" t="str">
        <x:v>Direction</x:v>
      </x:c>
      <x:c r="D24" s="346" t="str">
        <x:v>Score (1–5)</x:v>
      </x:c>
      <x:c r="E24" s="346" t="str">
        <x:v>Weight</x:v>
      </x:c>
      <x:c r="F24" s="346" t="str">
        <x:v>Weighted score</x:v>
      </x:c>
    </x:row>
    <x:row r="25">
      <x:c r="A25" s="300" t="str">
        <x:v>Debt / EBITDA</x:v>
      </x:c>
      <x:c r="B25" s="581" t="n">
        <x:f>C18/C13</x:f>
        <x:v>2.986111111111111</x:v>
      </x:c>
      <x:c r="C25" s="300" t="str">
        <x:v>Lower is better</x:v>
      </x:c>
      <x:c r="D25" s="348" t="n">
        <x:v>3</x:v>
      </x:c>
      <x:c r="E25" s="582" t="n">
        <x:v>0.2</x:v>
      </x:c>
      <x:c r="F25" s="300" t="n">
        <x:f>D25*E25</x:f>
        <x:v>0.6000000000000001</x:v>
      </x:c>
    </x:row>
    <x:row r="26">
      <x:c r="A26" s="300" t="str">
        <x:v>Interest coverage</x:v>
      </x:c>
      <x:c r="B26" s="581" t="n">
        <x:f>C14/C15</x:f>
        <x:v>4.833333333333333</x:v>
      </x:c>
      <x:c r="C26" s="300" t="str">
        <x:v>Higher is better</x:v>
      </x:c>
      <x:c r="D26" s="348" t="n">
        <x:v>2</x:v>
      </x:c>
      <x:c r="E26" s="582" t="n">
        <x:v>0.2</x:v>
      </x:c>
      <x:c r="F26" s="300" t="n">
        <x:f>D26*E26</x:f>
        <x:v>0.4</x:v>
      </x:c>
    </x:row>
    <x:row r="27">
      <x:c r="A27" s="300" t="str">
        <x:v>EBITDA margin</x:v>
      </x:c>
      <x:c r="B27" s="581" t="n">
        <x:f>C13/C12</x:f>
        <x:v>0.17142857142857143</x:v>
      </x:c>
      <x:c r="C27" s="300" t="str">
        <x:v>Higher is better</x:v>
      </x:c>
      <x:c r="D27" s="348" t="n">
        <x:v>2</x:v>
      </x:c>
      <x:c r="E27" s="582" t="n">
        <x:v>0.15</x:v>
      </x:c>
      <x:c r="F27" s="300" t="n">
        <x:f>D27*E27</x:f>
        <x:v>0.3</x:v>
      </x:c>
    </x:row>
    <x:row r="28">
      <x:c r="A28" s="300" t="str">
        <x:v>Net debt / EBITDA</x:v>
      </x:c>
      <x:c r="B28" s="581" t="n">
        <x:f>(C18-C17)/C13</x:f>
        <x:v>1.6527777777777777</x:v>
      </x:c>
      <x:c r="C28" s="300" t="str">
        <x:v>Lower is better</x:v>
      </x:c>
      <x:c r="D28" s="348" t="n">
        <x:v>3</x:v>
      </x:c>
      <x:c r="E28" s="582" t="n">
        <x:v>0.2</x:v>
      </x:c>
      <x:c r="F28" s="300" t="n">
        <x:f>D28*E28</x:f>
        <x:v>0.6000000000000001</x:v>
      </x:c>
    </x:row>
    <x:row r="29">
      <x:c r="A29" s="300" t="str">
        <x:v>Return on assets</x:v>
      </x:c>
      <x:c r="B29" s="581" t="n">
        <x:f>C20/C16</x:f>
        <x:v>0.06229508196721312</x:v>
      </x:c>
      <x:c r="C29" s="300" t="str">
        <x:v>Higher is better</x:v>
      </x:c>
      <x:c r="D29" s="348" t="n">
        <x:v>3</x:v>
      </x:c>
      <x:c r="E29" s="582" t="n">
        <x:v>0.1</x:v>
      </x:c>
      <x:c r="F29" s="300" t="n">
        <x:f>D29*E29</x:f>
        <x:v>0.30000000000000004</x:v>
      </x:c>
    </x:row>
    <x:row r="30">
      <x:c r="A30" s="300" t="str">
        <x:v>Operating cash conversion</x:v>
      </x:c>
      <x:c r="B30" s="581" t="n">
        <x:f>C21/C13</x:f>
        <x:v>0.875</x:v>
      </x:c>
      <x:c r="C30" s="300" t="str">
        <x:v>Higher is better</x:v>
      </x:c>
      <x:c r="D30" s="348" t="n">
        <x:v>2</x:v>
      </x:c>
      <x:c r="E30" s="582" t="n">
        <x:v>0.15</x:v>
      </x:c>
      <x:c r="F30" s="300" t="n">
        <x:f>D30*E30</x:f>
        <x:v>0.3</x:v>
      </x:c>
    </x:row>
    <x:row r="32" ht="24" customHeight="1">
      <x:c r="A32" s="268" t="str">
        <x:v>Qualitative factors</x:v>
      </x:c>
      <x:c r="B32" s="268" t="str">
        <x:v>Qualitative factors</x:v>
      </x:c>
      <x:c r="C32" s="268" t="str">
        <x:v>Qualitative factors</x:v>
      </x:c>
      <x:c r="D32" s="268" t="str">
        <x:v>Qualitative factors</x:v>
      </x:c>
      <x:c r="E32" s="268" t="str">
        <x:v>Qualitative factors</x:v>
      </x:c>
      <x:c r="F32" s="268" t="str">
        <x:v>Qualitative factors</x:v>
      </x:c>
    </x:row>
    <x:row r="33" ht="30" customHeight="1">
      <x:c r="A33" s="346" t="str">
        <x:v>Factor</x:v>
      </x:c>
      <x:c r="B33" s="346" t="str">
        <x:v>Evidence / judgement</x:v>
      </x:c>
      <x:c r="C33" s="346" t="str">
        <x:v>Score (1–5)</x:v>
      </x:c>
      <x:c r="D33" s="346" t="str">
        <x:v>Weight</x:v>
      </x:c>
    </x:row>
    <x:row r="34">
      <x:c r="A34" s="300" t="str">
        <x:v>Business profile</x:v>
      </x:c>
      <x:c r="B34" s="348" t="str">
        <x:v>Diversified but cyclical revenue base</x:v>
      </x:c>
      <x:c r="C34" s="348" t="n">
        <x:v>3</x:v>
      </x:c>
      <x:c r="D34" s="582" t="n">
        <x:v>0.2</x:v>
      </x:c>
    </x:row>
    <x:row r="35">
      <x:c r="A35" s="300" t="str">
        <x:v>Market position</x:v>
      </x:c>
      <x:c r="B35" s="348" t="str">
        <x:v>Established position in core segments</x:v>
      </x:c>
      <x:c r="C35" s="348" t="n">
        <x:v>2</x:v>
      </x:c>
      <x:c r="D35" s="582" t="n">
        <x:v>0.2</x:v>
      </x:c>
    </x:row>
    <x:row r="36">
      <x:c r="A36" s="300" t="str">
        <x:v>Governance</x:v>
      </x:c>
      <x:c r="B36" s="348" t="str">
        <x:v>Formal oversight; no material exceptions evidenced</x:v>
      </x:c>
      <x:c r="C36" s="348" t="n">
        <x:v>2</x:v>
      </x:c>
      <x:c r="D36" s="582" t="n">
        <x:v>0.2</x:v>
      </x:c>
    </x:row>
    <x:row r="37">
      <x:c r="A37" s="300" t="str">
        <x:v>Liquidity access</x:v>
      </x:c>
      <x:c r="B37" s="348" t="str">
        <x:v>Multiple funding sources with documented limits</x:v>
      </x:c>
      <x:c r="C37" s="348" t="n">
        <x:v>3</x:v>
      </x:c>
      <x:c r="D37" s="582" t="n">
        <x:v>0.25</x:v>
      </x:c>
    </x:row>
    <x:row r="38">
      <x:c r="A38" s="300" t="str">
        <x:v>External conditions</x:v>
      </x:c>
      <x:c r="B38" s="348" t="str">
        <x:v>Moderate macro and sector pressure</x:v>
      </x:c>
      <x:c r="C38" s="348" t="n">
        <x:v>3</x:v>
      </x:c>
      <x:c r="D38" s="582" t="n">
        <x:v>0.15</x:v>
      </x:c>
    </x:row>
    <x:row r="40">
      <x:c r="A40" s="300" t="str">
        <x:v>Qualitative adjustment</x:v>
      </x:c>
      <x:c r="B40" s="300" t="str">
        <x:v>Use −0.5 to +0.5 with documented rationale</x:v>
      </x:c>
      <x:c r="C40" s="348" t="n">
        <x:v>0</x:v>
      </x:c>
      <x:c r="D40" s="348" t="str">
        <x:v>No adjustment in the illustrative case</x:v>
      </x:c>
      <x:c r="E40" s="348" t="str">
        <x:v>No adjustment in the illustrative case</x:v>
      </x:c>
      <x:c r="F40" s="348" t="str">
        <x:v>No adjustment in the illustrative case</x:v>
      </x:c>
    </x:row>
    <x:row r="43">
      <x:c r="A43" s="559" t="str">
        <x:v>Governance note: A model score is one input to a credit decision. Document data quality, financial statement basis, ownership, group support, sector outlook, legal enforceability, collateral, wrong-way risk, concentration and override rationale.</x:v>
      </x:c>
      <x:c r="B43" s="559" t="str">
        <x:v>Governance note: A model score is one input to a credit decision. Document data quality, financial statement basis, ownership, group support, sector outlook, legal enforceability, collateral, wrong-way risk, concentration and override rationale.</x:v>
      </x:c>
      <x:c r="C43" s="559" t="str">
        <x:v>Governance note: A model score is one input to a credit decision. Document data quality, financial statement basis, ownership, group support, sector outlook, legal enforceability, collateral, wrong-way risk, concentration and override rationale.</x:v>
      </x:c>
      <x:c r="D43" s="559" t="str">
        <x:v>Governance note: A model score is one input to a credit decision. Document data quality, financial statement basis, ownership, group support, sector outlook, legal enforceability, collateral, wrong-way risk, concentration and override rationale.</x:v>
      </x:c>
      <x:c r="E43" s="559" t="str">
        <x:v>Governance note: A model score is one input to a credit decision. Document data quality, financial statement basis, ownership, group support, sector outlook, legal enforceability, collateral, wrong-way risk, concentration and override rationale.</x:v>
      </x:c>
      <x:c r="F43" s="559" t="str">
        <x:v>Governance note: A model score is one input to a credit decision. Document data quality, financial statement basis, ownership, group support, sector outlook, legal enforceability, collateral, wrong-way risk, concentration and override rationale.</x:v>
      </x:c>
      <x:c r="G43" s="559" t="str">
        <x:v>Governance note: A model score is one input to a credit decision. Document data quality, financial statement basis, ownership, group support, sector outlook, legal enforceability, collateral, wrong-way risk, concentration and override rationale.</x:v>
      </x:c>
      <x:c r="H43" s="559" t="str">
        <x:v>Governance note: A model score is one input to a credit decision. Document data quality, financial statement basis, ownership, group support, sector outlook, legal enforceability, collateral, wrong-way risk, concentration and override rationale.</x:v>
      </x:c>
      <x:c r="I43" s="559" t="str">
        <x:v>Governance note: A model score is one input to a credit decision. Document data quality, financial statement basis, ownership, group support, sector outlook, legal enforceability, collateral, wrong-way risk, concentration and override rationale.</x:v>
      </x:c>
      <x:c r="J43" s="559" t="str">
        <x:v>Governance note: A model score is one input to a credit decision. Document data quality, financial statement basis, ownership, group support, sector outlook, legal enforceability, collateral, wrong-way risk, concentration and override rationale.</x:v>
      </x:c>
      <x:c r="K43" s="559" t="str">
        <x:v>Governance note: A model score is one input to a credit decision. Document data quality, financial statement basis, ownership, group support, sector outlook, legal enforceability, collateral, wrong-way risk, concentration and override rationale.</x:v>
      </x:c>
      <x:c r="L43" s="559" t="str">
        <x:v>Governance note: A model score is one input to a credit decision. Document data quality, financial statement basis, ownership, group support, sector outlook, legal enforceability, collateral, wrong-way risk, concentration and override rationale.</x:v>
      </x:c>
      <x:c r="M43" s="559" t="str">
        <x:v>Governance note: A model score is one input to a credit decision. Document data quality, financial statement basis, ownership, group support, sector outlook, legal enforceability, collateral, wrong-way risk, concentration and override rationale.</x:v>
      </x:c>
      <x:c r="N43" s="559" t="str">
        <x:v>Governance note: A model score is one input to a credit decision. Document data quality, financial statement basis, ownership, group support, sector outlook, legal enforceability, collateral, wrong-way risk, concentration and override rationale.</x:v>
      </x:c>
    </x:row>
    <x:row r="44">
      <x:c r="A44" s="559" t="str">
        <x:v>Governance note: A model score is one input to a credit decision. Document data quality, financial statement basis, ownership, group support, sector outlook, legal enforceability, collateral, wrong-way risk, concentration and override rationale.</x:v>
      </x:c>
      <x:c r="B44" s="559" t="str">
        <x:v>Governance note: A model score is one input to a credit decision. Document data quality, financial statement basis, ownership, group support, sector outlook, legal enforceability, collateral, wrong-way risk, concentration and override rationale.</x:v>
      </x:c>
      <x:c r="C44" s="559" t="str">
        <x:v>Governance note: A model score is one input to a credit decision. Document data quality, financial statement basis, ownership, group support, sector outlook, legal enforceability, collateral, wrong-way risk, concentration and override rationale.</x:v>
      </x:c>
      <x:c r="D44" s="559" t="str">
        <x:v>Governance note: A model score is one input to a credit decision. Document data quality, financial statement basis, ownership, group support, sector outlook, legal enforceability, collateral, wrong-way risk, concentration and override rationale.</x:v>
      </x:c>
      <x:c r="E44" s="559" t="str">
        <x:v>Governance note: A model score is one input to a credit decision. Document data quality, financial statement basis, ownership, group support, sector outlook, legal enforceability, collateral, wrong-way risk, concentration and override rationale.</x:v>
      </x:c>
      <x:c r="F44" s="559" t="str">
        <x:v>Governance note: A model score is one input to a credit decision. Document data quality, financial statement basis, ownership, group support, sector outlook, legal enforceability, collateral, wrong-way risk, concentration and override rationale.</x:v>
      </x:c>
      <x:c r="G44" s="559" t="str">
        <x:v>Governance note: A model score is one input to a credit decision. Document data quality, financial statement basis, ownership, group support, sector outlook, legal enforceability, collateral, wrong-way risk, concentration and override rationale.</x:v>
      </x:c>
      <x:c r="H44" s="559" t="str">
        <x:v>Governance note: A model score is one input to a credit decision. Document data quality, financial statement basis, ownership, group support, sector outlook, legal enforceability, collateral, wrong-way risk, concentration and override rationale.</x:v>
      </x:c>
      <x:c r="I44" s="559" t="str">
        <x:v>Governance note: A model score is one input to a credit decision. Document data quality, financial statement basis, ownership, group support, sector outlook, legal enforceability, collateral, wrong-way risk, concentration and override rationale.</x:v>
      </x:c>
      <x:c r="J44" s="559" t="str">
        <x:v>Governance note: A model score is one input to a credit decision. Document data quality, financial statement basis, ownership, group support, sector outlook, legal enforceability, collateral, wrong-way risk, concentration and override rationale.</x:v>
      </x:c>
      <x:c r="K44" s="559" t="str">
        <x:v>Governance note: A model score is one input to a credit decision. Document data quality, financial statement basis, ownership, group support, sector outlook, legal enforceability, collateral, wrong-way risk, concentration and override rationale.</x:v>
      </x:c>
      <x:c r="L44" s="559" t="str">
        <x:v>Governance note: A model score is one input to a credit decision. Document data quality, financial statement basis, ownership, group support, sector outlook, legal enforceability, collateral, wrong-way risk, concentration and override rationale.</x:v>
      </x:c>
      <x:c r="M44" s="559" t="str">
        <x:v>Governance note: A model score is one input to a credit decision. Document data quality, financial statement basis, ownership, group support, sector outlook, legal enforceability, collateral, wrong-way risk, concentration and override rationale.</x:v>
      </x:c>
      <x:c r="N44" s="559" t="str">
        <x:v>Governance note: A model score is one input to a credit decision. Document data quality, financial statement basis, ownership, group support, sector outlook, legal enforceability, collateral, wrong-way risk, concentration and override rationale.</x:v>
      </x:c>
    </x:row>
    <x:row r="45">
      <x:c r="A45" s="559" t="str">
        <x:v>Governance note: A model score is one input to a credit decision. Document data quality, financial statement basis, ownership, group support, sector outlook, legal enforceability, collateral, wrong-way risk, concentration and override rationale.</x:v>
      </x:c>
      <x:c r="B45" s="559" t="str">
        <x:v>Governance note: A model score is one input to a credit decision. Document data quality, financial statement basis, ownership, group support, sector outlook, legal enforceability, collateral, wrong-way risk, concentration and override rationale.</x:v>
      </x:c>
      <x:c r="C45" s="559" t="str">
        <x:v>Governance note: A model score is one input to a credit decision. Document data quality, financial statement basis, ownership, group support, sector outlook, legal enforceability, collateral, wrong-way risk, concentration and override rationale.</x:v>
      </x:c>
      <x:c r="D45" s="559" t="str">
        <x:v>Governance note: A model score is one input to a credit decision. Document data quality, financial statement basis, ownership, group support, sector outlook, legal enforceability, collateral, wrong-way risk, concentration and override rationale.</x:v>
      </x:c>
      <x:c r="E45" s="559" t="str">
        <x:v>Governance note: A model score is one input to a credit decision. Document data quality, financial statement basis, ownership, group support, sector outlook, legal enforceability, collateral, wrong-way risk, concentration and override rationale.</x:v>
      </x:c>
      <x:c r="F45" s="559" t="str">
        <x:v>Governance note: A model score is one input to a credit decision. Document data quality, financial statement basis, ownership, group support, sector outlook, legal enforceability, collateral, wrong-way risk, concentration and override rationale.</x:v>
      </x:c>
      <x:c r="G45" s="559" t="str">
        <x:v>Governance note: A model score is one input to a credit decision. Document data quality, financial statement basis, ownership, group support, sector outlook, legal enforceability, collateral, wrong-way risk, concentration and override rationale.</x:v>
      </x:c>
      <x:c r="H45" s="559" t="str">
        <x:v>Governance note: A model score is one input to a credit decision. Document data quality, financial statement basis, ownership, group support, sector outlook, legal enforceability, collateral, wrong-way risk, concentration and override rationale.</x:v>
      </x:c>
      <x:c r="I45" s="559" t="str">
        <x:v>Governance note: A model score is one input to a credit decision. Document data quality, financial statement basis, ownership, group support, sector outlook, legal enforceability, collateral, wrong-way risk, concentration and override rationale.</x:v>
      </x:c>
      <x:c r="J45" s="559" t="str">
        <x:v>Governance note: A model score is one input to a credit decision. Document data quality, financial statement basis, ownership, group support, sector outlook, legal enforceability, collateral, wrong-way risk, concentration and override rationale.</x:v>
      </x:c>
      <x:c r="K45" s="559" t="str">
        <x:v>Governance note: A model score is one input to a credit decision. Document data quality, financial statement basis, ownership, group support, sector outlook, legal enforceability, collateral, wrong-way risk, concentration and override rationale.</x:v>
      </x:c>
      <x:c r="L45" s="559" t="str">
        <x:v>Governance note: A model score is one input to a credit decision. Document data quality, financial statement basis, ownership, group support, sector outlook, legal enforceability, collateral, wrong-way risk, concentration and override rationale.</x:v>
      </x:c>
      <x:c r="M45" s="559" t="str">
        <x:v>Governance note: A model score is one input to a credit decision. Document data quality, financial statement basis, ownership, group support, sector outlook, legal enforceability, collateral, wrong-way risk, concentration and override rationale.</x:v>
      </x:c>
      <x:c r="N45" s="559" t="str">
        <x:v>Governance note: A model score is one input to a credit decision. Document data quality, financial statement basis, ownership, group support, sector outlook, legal enforceability, collateral, wrong-way risk, concentration and override rationale.</x:v>
      </x:c>
    </x:row>
  </x:sheetData>
  <x:mergeCells>
    <x:mergeCell ref="A1:N1"/>
    <x:mergeCell ref="A2:N2"/>
    <x:mergeCell ref="A4:H4"/>
    <x:mergeCell ref="C5:F5"/>
    <x:mergeCell ref="C6:F6"/>
    <x:mergeCell ref="C7:F7"/>
    <x:mergeCell ref="C8:F8"/>
    <x:mergeCell ref="A10:F10"/>
    <x:mergeCell ref="H4:N4"/>
    <x:mergeCell ref="H5:J5"/>
    <x:mergeCell ref="K5:N5"/>
    <x:mergeCell ref="H6:J6"/>
    <x:mergeCell ref="K6:N6"/>
    <x:mergeCell ref="H7:J7"/>
    <x:mergeCell ref="K7:N7"/>
    <x:mergeCell ref="H8:J8"/>
    <x:mergeCell ref="K8:N8"/>
    <x:mergeCell ref="H9:J9"/>
    <x:mergeCell ref="K9:N9"/>
    <x:mergeCell ref="A23:F23"/>
    <x:mergeCell ref="A32:F32"/>
    <x:mergeCell ref="D40:F40"/>
    <x:mergeCell ref="A43:N45"/>
  </x:mergeCells>
  <x:pageMargins left="0.7" right="0.7" top="0.75" bottom="0.75" header="0.3" footer="0.3"/>
  <x:drawing xmlns:r="http://schemas.openxmlformats.org/officeDocument/2006/relationships" r:id="Rbd526c087cbc4178"/>
</x:worksheet>
</file>

<file path=xl/worksheets/sheet12.xml><?xml version="1.0" encoding="utf-8"?>
<x:worksheet xmlns:x="http://schemas.openxmlformats.org/spreadsheetml/2006/main">
  <x:sheetViews>
    <x:sheetView showGridLines="0" workbookViewId="0"/>
  </x:sheetViews>
  <x:sheetFormatPr defaultRowHeight="15"/>
  <x:cols>
    <x:col min="1" max="1" width="28"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34" customHeight="1">
      <x:c r="A1" s="260" t="str">
        <x:v>ICS Peer Comparison — Generic Example</x:v>
      </x:c>
      <x:c r="B1" s="260" t="str">
        <x:v>ICS Peer Comparison — Generic Example</x:v>
      </x:c>
      <x:c r="C1" s="260" t="str">
        <x:v>ICS Peer Comparison — Generic Example</x:v>
      </x:c>
      <x:c r="D1" s="260" t="str">
        <x:v>ICS Peer Comparison — Generic Example</x:v>
      </x:c>
      <x:c r="E1" s="260" t="str">
        <x:v>ICS Peer Comparison — Generic Example</x:v>
      </x:c>
      <x:c r="F1" s="260" t="str">
        <x:v>ICS Peer Comparison — Generic Example</x:v>
      </x:c>
      <x:c r="G1" s="260" t="str">
        <x:v>ICS Peer Comparison — Generic Example</x:v>
      </x:c>
      <x:c r="H1" s="260" t="str">
        <x:v>ICS Peer Comparison — Generic Example</x:v>
      </x:c>
      <x:c r="I1" s="260" t="str">
        <x:v>ICS Peer Comparison — Generic Example</x:v>
      </x:c>
      <x:c r="J1" s="260" t="str">
        <x:v>ICS Peer Comparison — Generic Example</x:v>
      </x:c>
      <x:c r="K1" s="260" t="str">
        <x:v>ICS Peer Comparison — Generic Example</x:v>
      </x:c>
      <x:c r="L1" s="260" t="str">
        <x:v>ICS Peer Comparison — Generic Example</x:v>
      </x:c>
      <x:c r="M1" s="260" t="str">
        <x:v>ICS Peer Comparison — Generic Example</x:v>
      </x:c>
      <x:c r="N1" s="260" t="str">
        <x:v>ICS Peer Comparison — Generic Example</x:v>
      </x:c>
    </x:row>
    <x:row r="2" ht="32" customHeight="1">
      <x:c r="A2" s="264" t="str">
        <x:v>Source comparison for the ICS dashboard using only generic Entity A–D labels and invented values. Component scores run from 1 strong to 5 weak; the ICS dashboard maps them to 1 weak to 10 strong.</x:v>
      </x:c>
      <x:c r="B2" s="264" t="str">
        <x:v>Source comparison for the ICS dashboard using only generic Entity A–D labels and invented values. Component scores run from 1 strong to 5 weak; the ICS dashboard maps them to 1 weak to 10 strong.</x:v>
      </x:c>
      <x:c r="C2" s="264" t="str">
        <x:v>Source comparison for the ICS dashboard using only generic Entity A–D labels and invented values. Component scores run from 1 strong to 5 weak; the ICS dashboard maps them to 1 weak to 10 strong.</x:v>
      </x:c>
      <x:c r="D2" s="264" t="str">
        <x:v>Source comparison for the ICS dashboard using only generic Entity A–D labels and invented values. Component scores run from 1 strong to 5 weak; the ICS dashboard maps them to 1 weak to 10 strong.</x:v>
      </x:c>
      <x:c r="E2" s="264" t="str">
        <x:v>Source comparison for the ICS dashboard using only generic Entity A–D labels and invented values. Component scores run from 1 strong to 5 weak; the ICS dashboard maps them to 1 weak to 10 strong.</x:v>
      </x:c>
      <x:c r="F2" s="264" t="str">
        <x:v>Source comparison for the ICS dashboard using only generic Entity A–D labels and invented values. Component scores run from 1 strong to 5 weak; the ICS dashboard maps them to 1 weak to 10 strong.</x:v>
      </x:c>
      <x:c r="G2" s="264" t="str">
        <x:v>Source comparison for the ICS dashboard using only generic Entity A–D labels and invented values. Component scores run from 1 strong to 5 weak; the ICS dashboard maps them to 1 weak to 10 strong.</x:v>
      </x:c>
      <x:c r="H2" s="264" t="str">
        <x:v>Source comparison for the ICS dashboard using only generic Entity A–D labels and invented values. Component scores run from 1 strong to 5 weak; the ICS dashboard maps them to 1 weak to 10 strong.</x:v>
      </x:c>
      <x:c r="I2" s="264" t="str">
        <x:v>Source comparison for the ICS dashboard using only generic Entity A–D labels and invented values. Component scores run from 1 strong to 5 weak; the ICS dashboard maps them to 1 weak to 10 strong.</x:v>
      </x:c>
      <x:c r="J2" s="264" t="str">
        <x:v>Source comparison for the ICS dashboard using only generic Entity A–D labels and invented values. Component scores run from 1 strong to 5 weak; the ICS dashboard maps them to 1 weak to 10 strong.</x:v>
      </x:c>
      <x:c r="K2" s="264" t="str">
        <x:v>Source comparison for the ICS dashboard using only generic Entity A–D labels and invented values. Component scores run from 1 strong to 5 weak; the ICS dashboard maps them to 1 weak to 10 strong.</x:v>
      </x:c>
      <x:c r="L2" s="264" t="str">
        <x:v>Source comparison for the ICS dashboard using only generic Entity A–D labels and invented values. Component scores run from 1 strong to 5 weak; the ICS dashboard maps them to 1 weak to 10 strong.</x:v>
      </x:c>
      <x:c r="M2" s="264" t="str">
        <x:v>Source comparison for the ICS dashboard using only generic Entity A–D labels and invented values. Component scores run from 1 strong to 5 weak; the ICS dashboard maps them to 1 weak to 10 strong.</x:v>
      </x:c>
      <x:c r="N2" s="264" t="str">
        <x:v>Source comparison for the ICS dashboard using only generic Entity A–D labels and invented values. Component scores run from 1 strong to 5 weak; the ICS dashboard maps them to 1 weak to 10 strong.</x:v>
      </x:c>
    </x:row>
    <x:row r="4" ht="24" customHeight="1">
      <x:c r="A4" s="346" t="str">
        <x:v>Metric</x:v>
      </x:c>
      <x:c r="B4" s="346" t="str">
        <x:v>Entity A</x:v>
      </x:c>
      <x:c r="C4" s="346" t="str">
        <x:v>Entity B</x:v>
      </x:c>
      <x:c r="D4" s="346" t="str">
        <x:v>Entity C</x:v>
      </x:c>
      <x:c r="E4" s="346" t="str">
        <x:v>Entity D</x:v>
      </x:c>
      <x:c r="G4" s="268" t="str">
        <x:v>Comparison conclusion</x:v>
      </x:c>
      <x:c r="H4" s="268" t="str">
        <x:v>Comparison conclusion</x:v>
      </x:c>
      <x:c r="I4" s="268" t="str">
        <x:v>Comparison conclusion</x:v>
      </x:c>
      <x:c r="J4" s="268" t="str">
        <x:v>Comparison conclusion</x:v>
      </x:c>
      <x:c r="K4" s="268" t="str">
        <x:v>Comparison conclusion</x:v>
      </x:c>
      <x:c r="L4" s="268" t="str">
        <x:v>Comparison conclusion</x:v>
      </x:c>
      <x:c r="M4" s="268" t="str">
        <x:v>Comparison conclusion</x:v>
      </x:c>
      <x:c r="N4" s="268" t="str">
        <x:v>Comparison conclusion</x:v>
      </x:c>
    </x:row>
    <x:row r="5">
      <x:c r="A5" s="300" t="str">
        <x:v>Revenue (£m)</x:v>
      </x:c>
      <x:c r="B5" s="348" t="n">
        <x:v>420</x:v>
      </x:c>
      <x:c r="C5" s="348" t="n">
        <x:v>310</x:v>
      </x:c>
      <x:c r="D5" s="348" t="n">
        <x:v>525</x:v>
      </x:c>
      <x:c r="E5" s="348" t="n">
        <x:v>195</x:v>
      </x:c>
      <x:c r="G5" s="578" t="str">
        <x:v>Lowest (strongest) score</x:v>
      </x:c>
      <x:c r="H5" s="578" t="str">
        <x:v>Lowest (strongest) score</x:v>
      </x:c>
      <x:c r="I5" s="578" t="str">
        <x:v>Lowest (strongest) score</x:v>
      </x:c>
      <x:c r="J5" s="578" t="str">
        <x:v>Lowest (strongest) score</x:v>
      </x:c>
      <x:c r="K5" s="585" t="n">
        <x:f>MIN(B31:E31)</x:f>
        <x:v>2.1</x:v>
      </x:c>
      <x:c r="L5" s="585"/>
      <x:c r="M5" s="585"/>
      <x:c r="N5" s="585"/>
    </x:row>
    <x:row r="6">
      <x:c r="A6" s="300" t="str">
        <x:v>EBITDA (£m)</x:v>
      </x:c>
      <x:c r="B6" s="348" t="n">
        <x:v>72</x:v>
      </x:c>
      <x:c r="C6" s="348" t="n">
        <x:v>42</x:v>
      </x:c>
      <x:c r="D6" s="348" t="n">
        <x:v>86</x:v>
      </x:c>
      <x:c r="E6" s="348" t="n">
        <x:v>22</x:v>
      </x:c>
      <x:c r="G6" s="578" t="str">
        <x:v>Highest (weakest) score</x:v>
      </x:c>
      <x:c r="H6" s="578" t="str">
        <x:v>Highest (weakest) score</x:v>
      </x:c>
      <x:c r="I6" s="578" t="str">
        <x:v>Highest (weakest) score</x:v>
      </x:c>
      <x:c r="J6" s="578" t="str">
        <x:v>Highest (weakest) score</x:v>
      </x:c>
      <x:c r="K6" s="585" t="n">
        <x:f>MAX(B31:E31)</x:f>
        <x:v>4.6</x:v>
      </x:c>
      <x:c r="L6" s="585"/>
      <x:c r="M6" s="585"/>
      <x:c r="N6" s="585"/>
    </x:row>
    <x:row r="7">
      <x:c r="A7" s="300" t="str">
        <x:v>Cash (£m)</x:v>
      </x:c>
      <x:c r="B7" s="348" t="n">
        <x:v>96</x:v>
      </x:c>
      <x:c r="C7" s="348" t="n">
        <x:v>58</x:v>
      </x:c>
      <x:c r="D7" s="348" t="n">
        <x:v>120</x:v>
      </x:c>
      <x:c r="E7" s="348" t="n">
        <x:v>31</x:v>
      </x:c>
      <x:c r="G7" s="578" t="str">
        <x:v>Portfolio average</x:v>
      </x:c>
      <x:c r="H7" s="578" t="str">
        <x:v>Portfolio average</x:v>
      </x:c>
      <x:c r="I7" s="578" t="str">
        <x:v>Portfolio average</x:v>
      </x:c>
      <x:c r="J7" s="578" t="str">
        <x:v>Portfolio average</x:v>
      </x:c>
      <x:c r="K7" s="585" t="n">
        <x:f>AVERAGE(B31:E31)</x:f>
        <x:v>3.225</x:v>
      </x:c>
      <x:c r="L7" s="585"/>
      <x:c r="M7" s="585"/>
      <x:c r="N7" s="585"/>
    </x:row>
    <x:row r="8">
      <x:c r="A8" s="300" t="str">
        <x:v>Total debt (£m)</x:v>
      </x:c>
      <x:c r="B8" s="348" t="n">
        <x:v>215</x:v>
      </x:c>
      <x:c r="C8" s="348" t="n">
        <x:v>190</x:v>
      </x:c>
      <x:c r="D8" s="348" t="n">
        <x:v>260</x:v>
      </x:c>
      <x:c r="E8" s="348" t="n">
        <x:v>155</x:v>
      </x:c>
    </x:row>
    <x:row r="9">
      <x:c r="A9" s="300" t="str">
        <x:v>Total assets (£m)</x:v>
      </x:c>
      <x:c r="B9" s="348" t="n">
        <x:v>610</x:v>
      </x:c>
      <x:c r="C9" s="348" t="n">
        <x:v>455</x:v>
      </x:c>
      <x:c r="D9" s="348" t="n">
        <x:v>790</x:v>
      </x:c>
      <x:c r="E9" s="348" t="n">
        <x:v>305</x:v>
      </x:c>
    </x:row>
    <x:row r="10">
      <x:c r="A10" s="300" t="str">
        <x:v>Equity (£m)</x:v>
      </x:c>
      <x:c r="B10" s="348" t="n">
        <x:v>245</x:v>
      </x:c>
      <x:c r="C10" s="348" t="n">
        <x:v>142</x:v>
      </x:c>
      <x:c r="D10" s="348" t="n">
        <x:v>325</x:v>
      </x:c>
      <x:c r="E10" s="348" t="n">
        <x:v>88</x:v>
      </x:c>
    </x:row>
    <x:row r="11">
      <x:c r="A11" s="300" t="str">
        <x:v>Interest expense (£m)</x:v>
      </x:c>
      <x:c r="B11" s="348" t="n">
        <x:v>12</x:v>
      </x:c>
      <x:c r="C11" s="348" t="n">
        <x:v>14</x:v>
      </x:c>
      <x:c r="D11" s="348" t="n">
        <x:v>18</x:v>
      </x:c>
      <x:c r="E11" s="348" t="n">
        <x:v>13</x:v>
      </x:c>
    </x:row>
    <x:row r="12">
      <x:c r="A12" s="300" t="str">
        <x:v>Net profit (£m)</x:v>
      </x:c>
      <x:c r="B12" s="348" t="n">
        <x:v>38</x:v>
      </x:c>
      <x:c r="C12" s="348" t="n">
        <x:v>19</x:v>
      </x:c>
      <x:c r="D12" s="348" t="n">
        <x:v>51</x:v>
      </x:c>
      <x:c r="E12" s="348" t="n">
        <x:v>8</x:v>
      </x:c>
    </x:row>
    <x:row r="13">
      <x:c r="A13" s="300" t="str">
        <x:v>Operating cash flow (£m)</x:v>
      </x:c>
      <x:c r="B13" s="348" t="n">
        <x:v>63</x:v>
      </x:c>
      <x:c r="C13" s="348" t="n">
        <x:v>34</x:v>
      </x:c>
      <x:c r="D13" s="348" t="n">
        <x:v>79</x:v>
      </x:c>
      <x:c r="E13" s="348" t="n">
        <x:v>16</x:v>
      </x:c>
    </x:row>
    <x:row r="15" ht="30" customHeight="1">
      <x:c r="A15" s="346" t="str">
        <x:v>Calculated ratio</x:v>
      </x:c>
      <x:c r="B15" s="346" t="str">
        <x:v>Entity A</x:v>
      </x:c>
      <x:c r="C15" s="346" t="str">
        <x:v>Entity B</x:v>
      </x:c>
      <x:c r="D15" s="346" t="str">
        <x:v>Entity C</x:v>
      </x:c>
      <x:c r="E15" s="346" t="str">
        <x:v>Entity D</x:v>
      </x:c>
    </x:row>
    <x:row r="16">
      <x:c r="A16" s="300" t="str">
        <x:v>Debt / EBITDA</x:v>
      </x:c>
      <x:c r="B16" s="581" t="n">
        <x:f>B8/B6</x:f>
        <x:v>2.986111111111111</x:v>
      </x:c>
      <x:c r="C16" s="581" t="n">
        <x:f>C8/C6</x:f>
        <x:v>4.523809523809524</x:v>
      </x:c>
      <x:c r="D16" s="581" t="n">
        <x:f>D8/D6</x:f>
        <x:v>3.0232558139534884</x:v>
      </x:c>
      <x:c r="E16" s="581" t="n">
        <x:f>E8/E6</x:f>
        <x:v>7.045454545454546</x:v>
      </x:c>
    </x:row>
    <x:row r="17">
      <x:c r="A17" s="300" t="str">
        <x:v>EBITDA margin</x:v>
      </x:c>
      <x:c r="B17" s="581" t="n">
        <x:f>B6/B5</x:f>
        <x:v>0.17142857142857143</x:v>
      </x:c>
      <x:c r="C17" s="581" t="n">
        <x:f>C6/C5</x:f>
        <x:v>0.13548387096774195</x:v>
      </x:c>
      <x:c r="D17" s="581" t="n">
        <x:f>D6/D5</x:f>
        <x:v>0.16380952380952382</x:v>
      </x:c>
      <x:c r="E17" s="581" t="n">
        <x:f>E6/E5</x:f>
        <x:v>0.11282051282051282</x:v>
      </x:c>
    </x:row>
    <x:row r="18">
      <x:c r="A18" s="300" t="str">
        <x:v>Net debt / EBITDA</x:v>
      </x:c>
      <x:c r="B18" s="581" t="n">
        <x:f>(B8-B7)/B6</x:f>
        <x:v>1.6527777777777777</x:v>
      </x:c>
      <x:c r="C18" s="581" t="n">
        <x:f>(C8-C7)/C6</x:f>
        <x:v>3.142857142857143</x:v>
      </x:c>
      <x:c r="D18" s="581" t="n">
        <x:f>(D8-D7)/D6</x:f>
        <x:v>1.627906976744186</x:v>
      </x:c>
      <x:c r="E18" s="581" t="n">
        <x:f>(E8-E7)/E6</x:f>
        <x:v>5.636363636363637</x:v>
      </x:c>
    </x:row>
    <x:row r="19">
      <x:c r="A19" s="300" t="str">
        <x:v>Return on assets</x:v>
      </x:c>
      <x:c r="B19" s="581" t="n">
        <x:f>B12/B9</x:f>
        <x:v>0.06229508196721312</x:v>
      </x:c>
      <x:c r="C19" s="581" t="n">
        <x:f>C12/C9</x:f>
        <x:v>0.041758241758241756</x:v>
      </x:c>
      <x:c r="D19" s="581" t="n">
        <x:f>D12/D9</x:f>
        <x:v>0.06455696202531645</x:v>
      </x:c>
      <x:c r="E19" s="581" t="n">
        <x:f>E12/E9</x:f>
        <x:v>0.02622950819672131</x:v>
      </x:c>
    </x:row>
    <x:row r="20">
      <x:c r="A20" s="300" t="str">
        <x:v>Cash conversion</x:v>
      </x:c>
      <x:c r="B20" s="581" t="n">
        <x:f>B13/B6</x:f>
        <x:v>0.875</x:v>
      </x:c>
      <x:c r="C20" s="581" t="n">
        <x:f>C13/C6</x:f>
        <x:v>0.8095238095238095</x:v>
      </x:c>
      <x:c r="D20" s="581" t="n">
        <x:f>D13/D6</x:f>
        <x:v>0.9186046511627907</x:v>
      </x:c>
      <x:c r="E20" s="581" t="n">
        <x:f>E13/E6</x:f>
        <x:v>0.7272727272727273</x:v>
      </x:c>
    </x:row>
    <x:row r="22" ht="30" customHeight="1">
      <x:c r="A22" s="346" t="str">
        <x:v>Ratio score (1 strong – 5 weak)</x:v>
      </x:c>
      <x:c r="B22" s="346" t="str">
        <x:v>Entity A</x:v>
      </x:c>
      <x:c r="C22" s="346" t="str">
        <x:v>Entity B</x:v>
      </x:c>
      <x:c r="D22" s="346" t="str">
        <x:v>Entity C</x:v>
      </x:c>
      <x:c r="E22" s="346" t="str">
        <x:v>Entity D</x:v>
      </x:c>
    </x:row>
    <x:row r="23">
      <x:c r="A23" s="300" t="str">
        <x:v>Debt / EBITDA</x:v>
      </x:c>
      <x:c r="B23" s="348" t="n">
        <x:v>3</x:v>
      </x:c>
      <x:c r="C23" s="348" t="n">
        <x:v>4</x:v>
      </x:c>
      <x:c r="D23" s="348" t="n">
        <x:v>3</x:v>
      </x:c>
      <x:c r="E23" s="348" t="n">
        <x:v>5</x:v>
      </x:c>
    </x:row>
    <x:row r="24">
      <x:c r="A24" s="300" t="str">
        <x:v>EBITDA margin</x:v>
      </x:c>
      <x:c r="B24" s="348" t="n">
        <x:v>2</x:v>
      </x:c>
      <x:c r="C24" s="348" t="n">
        <x:v>3</x:v>
      </x:c>
      <x:c r="D24" s="348" t="n">
        <x:v>2</x:v>
      </x:c>
      <x:c r="E24" s="348" t="n">
        <x:v>4</x:v>
      </x:c>
    </x:row>
    <x:row r="25">
      <x:c r="A25" s="300" t="str">
        <x:v>Net debt / EBITDA</x:v>
      </x:c>
      <x:c r="B25" s="348" t="n">
        <x:v>3</x:v>
      </x:c>
      <x:c r="C25" s="348" t="n">
        <x:v>4</x:v>
      </x:c>
      <x:c r="D25" s="348" t="n">
        <x:v>2</x:v>
      </x:c>
      <x:c r="E25" s="348" t="n">
        <x:v>5</x:v>
      </x:c>
    </x:row>
    <x:row r="26">
      <x:c r="A26" s="300" t="str">
        <x:v>Return on assets</x:v>
      </x:c>
      <x:c r="B26" s="348" t="n">
        <x:v>3</x:v>
      </x:c>
      <x:c r="C26" s="348" t="n">
        <x:v>4</x:v>
      </x:c>
      <x:c r="D26" s="348" t="n">
        <x:v>2</x:v>
      </x:c>
      <x:c r="E26" s="348" t="n">
        <x:v>5</x:v>
      </x:c>
    </x:row>
    <x:row r="27">
      <x:c r="A27" s="300" t="str">
        <x:v>Cash conversion</x:v>
      </x:c>
      <x:c r="B27" s="348" t="n">
        <x:v>2</x:v>
      </x:c>
      <x:c r="C27" s="348" t="n">
        <x:v>3</x:v>
      </x:c>
      <x:c r="D27" s="348" t="n">
        <x:v>2</x:v>
      </x:c>
      <x:c r="E27" s="348" t="n">
        <x:v>4</x:v>
      </x:c>
    </x:row>
    <x:row r="29">
      <x:c r="A29" s="300" t="str">
        <x:v>Qualitative score</x:v>
      </x:c>
      <x:c r="B29" s="348" t="n">
        <x:v>2.4</x:v>
      </x:c>
      <x:c r="C29" s="348" t="n">
        <x:v>3.2</x:v>
      </x:c>
      <x:c r="D29" s="348" t="n">
        <x:v>2.2</x:v>
      </x:c>
      <x:c r="E29" s="348" t="n">
        <x:v>4.1</x:v>
      </x:c>
    </x:row>
    <x:row r="30">
      <x:c r="A30" s="300" t="str">
        <x:v>Adjustment</x:v>
      </x:c>
      <x:c r="B30" s="348" t="n">
        <x:v>0</x:v>
      </x:c>
      <x:c r="C30" s="348" t="n">
        <x:v>0.2</x:v>
      </x:c>
      <x:c r="D30" s="348" t="n">
        <x:v>-0.1</x:v>
      </x:c>
      <x:c r="E30" s="348" t="n">
        <x:v>0.2</x:v>
      </x:c>
    </x:row>
    <x:row r="31">
      <x:c r="A31" s="584" t="str">
        <x:v>Final internal score</x:v>
      </x:c>
      <x:c r="B31" s="584" t="n">
        <x:f>MAX(1,MIN(5,ROUND(AVERAGE(B23:B27)*70%+B29*30%+B30,1)))</x:f>
        <x:v>2.5</x:v>
      </x:c>
      <x:c r="C31" s="584" t="n">
        <x:f>MAX(1,MIN(5,ROUND(AVERAGE(C23:C27)*70%+C29*30%+C30,1)))</x:f>
        <x:v>3.7</x:v>
      </x:c>
      <x:c r="D31" s="584" t="n">
        <x:f>MAX(1,MIN(5,ROUND(AVERAGE(D23:D27)*70%+D29*30%+D30,1)))</x:f>
        <x:v>2.1</x:v>
      </x:c>
      <x:c r="E31" s="584" t="n">
        <x:f>MAX(1,MIN(5,ROUND(AVERAGE(E23:E27)*70%+E29*30%+E30,1)))</x:f>
        <x:v>4.6</x:v>
      </x:c>
    </x:row>
    <x:row r="34">
      <x:c r="A34" s="605" t="str">
        <x:v>Sanitisation control: Entity labels and every displayed value are fictional. Do not paste confidential source documents into a client-facing workbook; transfer only approved, minimised data and retain a review record.</x:v>
      </x:c>
      <x:c r="B34" s="606" t="str">
        <x:v>Sanitisation control: Entity labels and every displayed value are fictional. Do not paste confidential source documents into a client-facing workbook; transfer only approved, minimised data and retain a review record.</x:v>
      </x:c>
      <x:c r="C34" s="606" t="str">
        <x:v>Sanitisation control: Entity labels and every displayed value are fictional. Do not paste confidential source documents into a client-facing workbook; transfer only approved, minimised data and retain a review record.</x:v>
      </x:c>
      <x:c r="D34" s="606" t="str">
        <x:v>Sanitisation control: Entity labels and every displayed value are fictional. Do not paste confidential source documents into a client-facing workbook; transfer only approved, minimised data and retain a review record.</x:v>
      </x:c>
      <x:c r="E34" s="606" t="str">
        <x:v>Sanitisation control: Entity labels and every displayed value are fictional. Do not paste confidential source documents into a client-facing workbook; transfer only approved, minimised data and retain a review record.</x:v>
      </x:c>
      <x:c r="F34" s="606" t="str">
        <x:v>Sanitisation control: Entity labels and every displayed value are fictional. Do not paste confidential source documents into a client-facing workbook; transfer only approved, minimised data and retain a review record.</x:v>
      </x:c>
      <x:c r="G34" s="606" t="str">
        <x:v>Sanitisation control: Entity labels and every displayed value are fictional. Do not paste confidential source documents into a client-facing workbook; transfer only approved, minimised data and retain a review record.</x:v>
      </x:c>
      <x:c r="H34" s="606" t="str">
        <x:v>Sanitisation control: Entity labels and every displayed value are fictional. Do not paste confidential source documents into a client-facing workbook; transfer only approved, minimised data and retain a review record.</x:v>
      </x:c>
      <x:c r="I34" s="606" t="str">
        <x:v>Sanitisation control: Entity labels and every displayed value are fictional. Do not paste confidential source documents into a client-facing workbook; transfer only approved, minimised data and retain a review record.</x:v>
      </x:c>
      <x:c r="J34" s="606" t="str">
        <x:v>Sanitisation control: Entity labels and every displayed value are fictional. Do not paste confidential source documents into a client-facing workbook; transfer only approved, minimised data and retain a review record.</x:v>
      </x:c>
      <x:c r="K34" s="606" t="str">
        <x:v>Sanitisation control: Entity labels and every displayed value are fictional. Do not paste confidential source documents into a client-facing workbook; transfer only approved, minimised data and retain a review record.</x:v>
      </x:c>
      <x:c r="L34" s="606" t="str">
        <x:v>Sanitisation control: Entity labels and every displayed value are fictional. Do not paste confidential source documents into a client-facing workbook; transfer only approved, minimised data and retain a review record.</x:v>
      </x:c>
      <x:c r="M34" s="606" t="str">
        <x:v>Sanitisation control: Entity labels and every displayed value are fictional. Do not paste confidential source documents into a client-facing workbook; transfer only approved, minimised data and retain a review record.</x:v>
      </x:c>
      <x:c r="N34" s="607" t="str">
        <x:v>Sanitisation control: Entity labels and every displayed value are fictional. Do not paste confidential source documents into a client-facing workbook; transfer only approved, minimised data and retain a review record.</x:v>
      </x:c>
    </x:row>
    <x:row r="35">
      <x:c r="A35" s="608" t="str">
        <x:v>Sanitisation control: Entity labels and every displayed value are fictional. Do not paste confidential source documents into a client-facing workbook; transfer only approved, minimised data and retain a review record.</x:v>
      </x:c>
      <x:c r="B35" s="609" t="str">
        <x:v>Sanitisation control: Entity labels and every displayed value are fictional. Do not paste confidential source documents into a client-facing workbook; transfer only approved, minimised data and retain a review record.</x:v>
      </x:c>
      <x:c r="C35" s="609" t="str">
        <x:v>Sanitisation control: Entity labels and every displayed value are fictional. Do not paste confidential source documents into a client-facing workbook; transfer only approved, minimised data and retain a review record.</x:v>
      </x:c>
      <x:c r="D35" s="609" t="str">
        <x:v>Sanitisation control: Entity labels and every displayed value are fictional. Do not paste confidential source documents into a client-facing workbook; transfer only approved, minimised data and retain a review record.</x:v>
      </x:c>
      <x:c r="E35" s="609" t="str">
        <x:v>Sanitisation control: Entity labels and every displayed value are fictional. Do not paste confidential source documents into a client-facing workbook; transfer only approved, minimised data and retain a review record.</x:v>
      </x:c>
      <x:c r="F35" s="609" t="str">
        <x:v>Sanitisation control: Entity labels and every displayed value are fictional. Do not paste confidential source documents into a client-facing workbook; transfer only approved, minimised data and retain a review record.</x:v>
      </x:c>
      <x:c r="G35" s="609" t="str">
        <x:v>Sanitisation control: Entity labels and every displayed value are fictional. Do not paste confidential source documents into a client-facing workbook; transfer only approved, minimised data and retain a review record.</x:v>
      </x:c>
      <x:c r="H35" s="609" t="str">
        <x:v>Sanitisation control: Entity labels and every displayed value are fictional. Do not paste confidential source documents into a client-facing workbook; transfer only approved, minimised data and retain a review record.</x:v>
      </x:c>
      <x:c r="I35" s="609" t="str">
        <x:v>Sanitisation control: Entity labels and every displayed value are fictional. Do not paste confidential source documents into a client-facing workbook; transfer only approved, minimised data and retain a review record.</x:v>
      </x:c>
      <x:c r="J35" s="609" t="str">
        <x:v>Sanitisation control: Entity labels and every displayed value are fictional. Do not paste confidential source documents into a client-facing workbook; transfer only approved, minimised data and retain a review record.</x:v>
      </x:c>
      <x:c r="K35" s="609" t="str">
        <x:v>Sanitisation control: Entity labels and every displayed value are fictional. Do not paste confidential source documents into a client-facing workbook; transfer only approved, minimised data and retain a review record.</x:v>
      </x:c>
      <x:c r="L35" s="609" t="str">
        <x:v>Sanitisation control: Entity labels and every displayed value are fictional. Do not paste confidential source documents into a client-facing workbook; transfer only approved, minimised data and retain a review record.</x:v>
      </x:c>
      <x:c r="M35" s="609" t="str">
        <x:v>Sanitisation control: Entity labels and every displayed value are fictional. Do not paste confidential source documents into a client-facing workbook; transfer only approved, minimised data and retain a review record.</x:v>
      </x:c>
      <x:c r="N35" s="610" t="str">
        <x:v>Sanitisation control: Entity labels and every displayed value are fictional. Do not paste confidential source documents into a client-facing workbook; transfer only approved, minimised data and retain a review record.</x:v>
      </x:c>
    </x:row>
    <x:row r="36">
      <x:c r="A36" s="611" t="str">
        <x:v>Sanitisation control: Entity labels and every displayed value are fictional. Do not paste confidential source documents into a client-facing workbook; transfer only approved, minimised data and retain a review record.</x:v>
      </x:c>
      <x:c r="B36" s="612" t="str">
        <x:v>Sanitisation control: Entity labels and every displayed value are fictional. Do not paste confidential source documents into a client-facing workbook; transfer only approved, minimised data and retain a review record.</x:v>
      </x:c>
      <x:c r="C36" s="612" t="str">
        <x:v>Sanitisation control: Entity labels and every displayed value are fictional. Do not paste confidential source documents into a client-facing workbook; transfer only approved, minimised data and retain a review record.</x:v>
      </x:c>
      <x:c r="D36" s="612" t="str">
        <x:v>Sanitisation control: Entity labels and every displayed value are fictional. Do not paste confidential source documents into a client-facing workbook; transfer only approved, minimised data and retain a review record.</x:v>
      </x:c>
      <x:c r="E36" s="612" t="str">
        <x:v>Sanitisation control: Entity labels and every displayed value are fictional. Do not paste confidential source documents into a client-facing workbook; transfer only approved, minimised data and retain a review record.</x:v>
      </x:c>
      <x:c r="F36" s="612" t="str">
        <x:v>Sanitisation control: Entity labels and every displayed value are fictional. Do not paste confidential source documents into a client-facing workbook; transfer only approved, minimised data and retain a review record.</x:v>
      </x:c>
      <x:c r="G36" s="612" t="str">
        <x:v>Sanitisation control: Entity labels and every displayed value are fictional. Do not paste confidential source documents into a client-facing workbook; transfer only approved, minimised data and retain a review record.</x:v>
      </x:c>
      <x:c r="H36" s="612" t="str">
        <x:v>Sanitisation control: Entity labels and every displayed value are fictional. Do not paste confidential source documents into a client-facing workbook; transfer only approved, minimised data and retain a review record.</x:v>
      </x:c>
      <x:c r="I36" s="612" t="str">
        <x:v>Sanitisation control: Entity labels and every displayed value are fictional. Do not paste confidential source documents into a client-facing workbook; transfer only approved, minimised data and retain a review record.</x:v>
      </x:c>
      <x:c r="J36" s="612" t="str">
        <x:v>Sanitisation control: Entity labels and every displayed value are fictional. Do not paste confidential source documents into a client-facing workbook; transfer only approved, minimised data and retain a review record.</x:v>
      </x:c>
      <x:c r="K36" s="612" t="str">
        <x:v>Sanitisation control: Entity labels and every displayed value are fictional. Do not paste confidential source documents into a client-facing workbook; transfer only approved, minimised data and retain a review record.</x:v>
      </x:c>
      <x:c r="L36" s="612" t="str">
        <x:v>Sanitisation control: Entity labels and every displayed value are fictional. Do not paste confidential source documents into a client-facing workbook; transfer only approved, minimised data and retain a review record.</x:v>
      </x:c>
      <x:c r="M36" s="612" t="str">
        <x:v>Sanitisation control: Entity labels and every displayed value are fictional. Do not paste confidential source documents into a client-facing workbook; transfer only approved, minimised data and retain a review record.</x:v>
      </x:c>
      <x:c r="N36" s="613" t="str">
        <x:v>Sanitisation control: Entity labels and every displayed value are fictional. Do not paste confidential source documents into a client-facing workbook; transfer only approved, minimised data and retain a review record.</x:v>
      </x:c>
    </x:row>
  </x:sheetData>
  <x:mergeCells>
    <x:mergeCell ref="A1:N1"/>
    <x:mergeCell ref="A2:N2"/>
    <x:mergeCell ref="G4:N4"/>
    <x:mergeCell ref="G5:J5"/>
    <x:mergeCell ref="K5:N5"/>
    <x:mergeCell ref="G6:J6"/>
    <x:mergeCell ref="K6:N6"/>
    <x:mergeCell ref="G7:J7"/>
    <x:mergeCell ref="K7:N7"/>
    <x:mergeCell ref="A34:N36"/>
  </x:mergeCells>
  <x:pageMargins left="0.7" right="0.7" top="0.75" bottom="0.75" header="0.3" footer="0.3"/>
  <x:drawing xmlns:r="http://schemas.openxmlformats.org/officeDocument/2006/relationships" r:id="R041534028d514840"/>
</x:worksheet>
</file>

<file path=xl/worksheets/sheet13.xml><?xml version="1.0" encoding="utf-8"?>
<x:worksheet xmlns:x="http://schemas.openxmlformats.org/spreadsheetml/2006/main">
  <x:sheetFormatPr defaultRowHeight="15"/>
  <x:cols>
    <x:col min="1" max="1" width="23" hidden="0" customWidth="1"/>
    <x:col min="2" max="2" width="15" hidden="0" customWidth="1"/>
    <x:col min="3" max="3" width="18" hidden="0" customWidth="1"/>
    <x:col min="4" max="4" width="12" hidden="0" customWidth="1"/>
    <x:col min="5" max="5" width="13" hidden="0" customWidth="1"/>
    <x:col min="6" max="6" width="20" hidden="0" customWidth="1"/>
    <x:col min="7" max="7" width="3" hidden="0" customWidth="1"/>
    <x:col min="8" max="8" width="15" hidden="0" customWidth="1"/>
    <x:col min="9" max="9" width="11" hidden="0" customWidth="1"/>
    <x:col min="10" max="10" width="11" hidden="0" customWidth="1"/>
    <x:col min="11" max="11" width="13" hidden="0" customWidth="1"/>
    <x:col min="12" max="12" width="13" hidden="0" customWidth="1"/>
    <x:col min="13" max="13" width="13" hidden="0" customWidth="1"/>
    <x:col min="14" max="14" width="13" hidden="0" customWidth="1"/>
  </x:cols>
  <x:sheetData>
    <x:row r="1" ht="36" customHeight="1">
      <x:c r="A1" s="844" t="str">
        <x:v>Internal Credit Score (ICS) Dashboard — Fictional Example</x:v>
      </x:c>
      <x:c r="B1" s="844"/>
      <x:c r="C1" s="844"/>
      <x:c r="D1" s="844"/>
      <x:c r="E1" s="844"/>
      <x:c r="F1" s="844"/>
      <x:c r="G1" s="844"/>
      <x:c r="H1" s="844"/>
      <x:c r="I1" s="844"/>
      <x:c r="J1" s="844"/>
      <x:c r="K1" s="844"/>
      <x:c r="L1" s="845"/>
      <x:c r="M1" s="845"/>
      <x:c r="N1" s="845"/>
    </x:row>
    <x:row r="2" ht="28" customHeight="1">
      <x:c r="A2" s="846" t="str">
        <x:v>Interactive 1–10 internal credit-risk score using generic Entity A–D data. Select an entity, scenario and documented adjustment; all values are invented.</x:v>
      </x:c>
      <x:c r="B2" s="846"/>
      <x:c r="C2" s="846"/>
      <x:c r="D2" s="846"/>
      <x:c r="E2" s="846"/>
      <x:c r="F2" s="846"/>
      <x:c r="G2" s="846"/>
      <x:c r="H2" s="846"/>
      <x:c r="I2" s="846"/>
      <x:c r="J2" s="846"/>
      <x:c r="K2" s="846"/>
      <x:c r="L2" s="845"/>
      <x:c r="M2" s="845"/>
      <x:c r="N2" s="845"/>
    </x:row>
    <x:row r="3">
      <x:c r="A3" s="847"/>
      <x:c r="B3" s="847"/>
      <x:c r="C3" s="847"/>
      <x:c r="D3" s="847"/>
      <x:c r="E3" s="847"/>
      <x:c r="F3" s="847"/>
      <x:c r="G3" s="847"/>
      <x:c r="H3" s="847"/>
      <x:c r="I3" s="847"/>
      <x:c r="J3" s="847"/>
      <x:c r="K3" s="847"/>
      <x:c r="L3" s="847"/>
      <x:c r="M3" s="847"/>
      <x:c r="N3" s="847"/>
    </x:row>
    <x:row r="4" ht="28" customHeight="1">
      <x:c r="A4" s="848" t="str">
        <x:v>Selected entity</x:v>
      </x:c>
      <x:c r="B4" s="849"/>
      <x:c r="C4" s="850" t="str">
        <x:v>Entity A</x:v>
      </x:c>
      <x:c r="D4" s="851"/>
      <x:c r="E4" s="849" t="str">
        <x:v>Scenario</x:v>
      </x:c>
      <x:c r="F4" s="849"/>
      <x:c r="G4" s="850" t="str">
        <x:v>Base</x:v>
      </x:c>
      <x:c r="H4" s="851"/>
      <x:c r="I4" s="849" t="str">
        <x:v>Qualitative adjustment</x:v>
      </x:c>
      <x:c r="J4" s="849"/>
      <x:c r="K4" s="852" t="n">
        <x:v>0</x:v>
      </x:c>
      <x:c r="L4" s="853"/>
      <x:c r="M4" s="854" t="str">
        <x:v>Model version: ICS-DEMO-1.0</x:v>
      </x:c>
      <x:c r="N4" s="855"/>
    </x:row>
    <x:row r="5">
      <x:c r="A5" s="847"/>
      <x:c r="B5" s="847"/>
      <x:c r="C5" s="847"/>
      <x:c r="D5" s="847"/>
      <x:c r="E5" s="847"/>
      <x:c r="F5" s="847"/>
      <x:c r="G5" s="847"/>
      <x:c r="H5" s="847"/>
      <x:c r="I5" s="847"/>
      <x:c r="J5" s="847"/>
      <x:c r="K5" s="847"/>
      <x:c r="L5" s="847"/>
      <x:c r="M5" s="847"/>
      <x:c r="N5" s="847"/>
    </x:row>
    <x:row r="6" ht="24" customHeight="1">
      <x:c r="A6" s="856" t="str">
        <x:v>ICS conclusion</x:v>
      </x:c>
      <x:c r="B6" s="856"/>
      <x:c r="C6" s="856"/>
      <x:c r="D6" s="856"/>
      <x:c r="E6" s="856"/>
      <x:c r="F6" s="856"/>
      <x:c r="G6" s="847"/>
      <x:c r="H6" s="856" t="str">
        <x:v>Data-quality and model-use controls</x:v>
      </x:c>
      <x:c r="I6" s="856"/>
      <x:c r="J6" s="856"/>
      <x:c r="K6" s="856"/>
      <x:c r="L6" s="856"/>
      <x:c r="M6" s="856"/>
      <x:c r="N6" s="856"/>
    </x:row>
    <x:row r="7">
      <x:c r="A7" s="857" t="str">
        <x:v>Quantitative score</x:v>
      </x:c>
      <x:c r="B7" s="858"/>
      <x:c r="C7" s="859" t="n">
        <x:f>ROUND(MAX(1,MIN(10,SUMPRODUCT(D16:D22,E16:E22)/SUM(E16:E22)+C9)),1)</x:f>
        <x:v>6.1</x:v>
      </x:c>
      <x:c r="D7" s="860"/>
      <x:c r="E7" s="861" t="str">
        <x:v>Indicative band</x:v>
      </x:c>
      <x:c r="F7" s="862"/>
      <x:c r="G7" s="847"/>
      <x:c r="H7" s="857" t="str">
        <x:v>Data age</x:v>
      </x:c>
      <x:c r="I7" s="863"/>
      <x:c r="J7" s="858"/>
      <x:c r="K7" s="864" t="str">
        <x:f>IF($C$4="Entity A","31 days",IF($C$4="Entity B","46 days",IF($C$4="Entity C","24 days","79 days")))</x:f>
        <x:v>31 days</x:v>
      </x:c>
      <x:c r="L7" s="865"/>
      <x:c r="M7" s="865"/>
      <x:c r="N7" s="866"/>
    </x:row>
    <x:row r="8">
      <x:c r="A8" s="867" t="str">
        <x:v>Qualitative score</x:v>
      </x:c>
      <x:c r="B8" s="868"/>
      <x:c r="C8" s="869" t="n">
        <x:f>ROUND(10-(IF($C$4="Entity A",'Credit Comparison'!B29,IF($C$4="Entity B",'Credit Comparison'!C29,IF($C$4="Entity C",'Credit Comparison'!D29,'Credit Comparison'!E29)))-1)*2.25,1)</x:f>
        <x:v>6.9</x:v>
      </x:c>
      <x:c r="D8" s="870"/>
      <x:c r="E8" s="871" t="str">
        <x:f>IF(C11&gt;=8.5,"Strong",IF(C11&gt;=7,"Good",IF(C11&gt;=5.5,"Adequate",IF(C11&gt;=4,"Watch","Elevated concern"))))</x:f>
        <x:v>Adequate</x:v>
      </x:c>
      <x:c r="F8" s="872"/>
      <x:c r="G8" s="847"/>
      <x:c r="H8" s="867" t="str">
        <x:v>Entity mapping</x:v>
      </x:c>
      <x:c r="I8" s="873"/>
      <x:c r="J8" s="868"/>
      <x:c r="K8" s="874" t="str">
        <x:f>IF($C$4="Entity D","Pending review","Verified")</x:f>
        <x:v>Verified</x:v>
      </x:c>
      <x:c r="L8" s="875"/>
      <x:c r="M8" s="875"/>
      <x:c r="N8" s="876"/>
    </x:row>
    <x:row r="9">
      <x:c r="A9" s="867" t="str">
        <x:v>Scenario effect</x:v>
      </x:c>
      <x:c r="B9" s="868"/>
      <x:c r="C9" s="869" t="n">
        <x:f>IF($G$4="Stress",-1.2,IF($G$4="Upside",0.5,0))</x:f>
        <x:v>0</x:v>
      </x:c>
      <x:c r="D9" s="870"/>
      <x:c r="E9" s="877"/>
      <x:c r="F9" s="878"/>
      <x:c r="G9" s="847"/>
      <x:c r="H9" s="867" t="str">
        <x:v>Financial reconciliation</x:v>
      </x:c>
      <x:c r="I9" s="873"/>
      <x:c r="J9" s="868"/>
      <x:c r="K9" s="874" t="str">
        <x:f>IF($C$4="Entity D","Exception open","Complete")</x:f>
        <x:v>Complete</x:v>
      </x:c>
      <x:c r="L9" s="875"/>
      <x:c r="M9" s="875"/>
      <x:c r="N9" s="876"/>
    </x:row>
    <x:row r="10">
      <x:c r="A10" s="867" t="str">
        <x:v>Documented adjustment</x:v>
      </x:c>
      <x:c r="B10" s="868"/>
      <x:c r="C10" s="869" t="n">
        <x:f>$K$4</x:f>
        <x:v>0</x:v>
      </x:c>
      <x:c r="D10" s="870"/>
      <x:c r="E10" s="877"/>
      <x:c r="F10" s="878"/>
      <x:c r="G10" s="847"/>
      <x:c r="H10" s="867" t="str">
        <x:v>Exposure completeness</x:v>
      </x:c>
      <x:c r="I10" s="873"/>
      <x:c r="J10" s="868"/>
      <x:c r="K10" s="879" t="n">
        <x:f>IF($C$4="Entity A",98%,IF($C$4="Entity B",94%,IF($C$4="Entity C",100%,88%)))</x:f>
        <x:v>0.98</x:v>
      </x:c>
      <x:c r="L10" s="880"/>
      <x:c r="M10" s="880"/>
      <x:c r="N10" s="881"/>
    </x:row>
    <x:row r="11">
      <x:c r="A11" s="882" t="str">
        <x:v>Final ICS</x:v>
      </x:c>
      <x:c r="B11" s="883"/>
      <x:c r="C11" s="884" t="n">
        <x:f>ROUND(MAX(1,MIN(10,C7*70%+C8*30%+C10)),1)</x:f>
        <x:v>6.3</x:v>
      </x:c>
      <x:c r="D11" s="885"/>
      <x:c r="E11" s="886"/>
      <x:c r="F11" s="887"/>
      <x:c r="G11" s="847"/>
      <x:c r="H11" s="882" t="str">
        <x:v>Review status</x:v>
      </x:c>
      <x:c r="I11" s="888"/>
      <x:c r="J11" s="883"/>
      <x:c r="K11" s="889" t="str">
        <x:f>IF(OR(K8="Pending review",K9="Exception open",K10&lt;90%),"Resolve before approval","Ready for independent review")</x:f>
        <x:v>Ready for independent review</x:v>
      </x:c>
      <x:c r="L11" s="890"/>
      <x:c r="M11" s="890"/>
      <x:c r="N11" s="891"/>
    </x:row>
    <x:row r="12">
      <x:c r="A12" s="847"/>
      <x:c r="B12" s="847"/>
      <x:c r="C12" s="847"/>
      <x:c r="D12" s="847"/>
      <x:c r="E12" s="847"/>
      <x:c r="F12" s="847"/>
      <x:c r="G12" s="847"/>
      <x:c r="H12" s="847"/>
      <x:c r="I12" s="847"/>
      <x:c r="J12" s="847"/>
      <x:c r="K12" s="847"/>
      <x:c r="L12" s="847"/>
      <x:c r="M12" s="847"/>
      <x:c r="N12" s="847"/>
    </x:row>
    <x:row r="13">
      <x:c r="A13" s="847"/>
      <x:c r="B13" s="847"/>
      <x:c r="C13" s="847"/>
      <x:c r="D13" s="847"/>
      <x:c r="E13" s="847"/>
      <x:c r="F13" s="847"/>
      <x:c r="G13" s="847"/>
      <x:c r="H13" s="847"/>
      <x:c r="I13" s="847"/>
      <x:c r="J13" s="847"/>
      <x:c r="K13" s="847"/>
      <x:c r="L13" s="847"/>
      <x:c r="M13" s="847"/>
      <x:c r="N13" s="847"/>
    </x:row>
    <x:row r="14" ht="24" customHeight="1">
      <x:c r="A14" s="856" t="str">
        <x:v>Quantitative ratio scorecard</x:v>
      </x:c>
      <x:c r="B14" s="856"/>
      <x:c r="C14" s="856"/>
      <x:c r="D14" s="856"/>
      <x:c r="E14" s="856"/>
      <x:c r="F14" s="856"/>
      <x:c r="G14" s="847"/>
      <x:c r="H14" s="847"/>
      <x:c r="I14" s="847"/>
      <x:c r="J14" s="847"/>
      <x:c r="K14" s="847"/>
      <x:c r="L14" s="847"/>
      <x:c r="M14" s="847"/>
      <x:c r="N14" s="847"/>
    </x:row>
    <x:row r="15" ht="24" customHeight="1">
      <x:c r="A15" s="892" t="str">
        <x:v>Ratio</x:v>
      </x:c>
      <x:c r="B15" s="893" t="str">
        <x:v>Formula result</x:v>
      </x:c>
      <x:c r="C15" s="893" t="str">
        <x:v>Direction</x:v>
      </x:c>
      <x:c r="D15" s="893" t="str">
        <x:v>ICS score</x:v>
      </x:c>
      <x:c r="E15" s="893" t="str">
        <x:v>Weight</x:v>
      </x:c>
      <x:c r="F15" s="894" t="str">
        <x:v>Comment</x:v>
      </x:c>
      <x:c r="G15" s="847"/>
      <x:c r="H15" s="847"/>
      <x:c r="I15" s="847"/>
      <x:c r="J15" s="847"/>
      <x:c r="K15" s="847"/>
      <x:c r="L15" s="847"/>
      <x:c r="M15" s="847"/>
      <x:c r="N15" s="847"/>
    </x:row>
    <x:row r="16">
      <x:c r="A16" s="895" t="str">
        <x:v>Debt / EBITDA</x:v>
      </x:c>
      <x:c r="B16" s="896" t="n">
        <x:f>IF($C$4="Entity A",'Credit Comparison'!B16,IF($C$4="Entity B",'Credit Comparison'!C16,IF($C$4="Entity C",'Credit Comparison'!D16,'Credit Comparison'!E16)))</x:f>
        <x:v>2.986111111111111</x:v>
      </x:c>
      <x:c r="C16" s="897" t="str">
        <x:v>Lower is better</x:v>
      </x:c>
      <x:c r="D16" s="898" t="n">
        <x:f>11-2*IF($C$4="Entity A",'Credit Comparison'!B23,IF($C$4="Entity B",'Credit Comparison'!C23,IF($C$4="Entity C",'Credit Comparison'!D23,'Credit Comparison'!E23)))</x:f>
        <x:v>5</x:v>
      </x:c>
      <x:c r="E16" s="899" t="n">
        <x:v>0.15</x:v>
      </x:c>
      <x:c r="F16" s="900" t="str">
        <x:v>Leverage</x:v>
      </x:c>
      <x:c r="G16" s="847"/>
      <x:c r="H16" s="847"/>
      <x:c r="I16" s="847"/>
      <x:c r="J16" s="847"/>
      <x:c r="K16" s="847"/>
      <x:c r="L16" s="847"/>
      <x:c r="M16" s="847"/>
      <x:c r="N16" s="847"/>
    </x:row>
    <x:row r="17">
      <x:c r="A17" s="901" t="str">
        <x:v>EBITDA margin</x:v>
      </x:c>
      <x:c r="B17" s="902" t="n">
        <x:f>IF($C$4="Entity A",'Credit Comparison'!B17,IF($C$4="Entity B",'Credit Comparison'!C17,IF($C$4="Entity C",'Credit Comparison'!D17,'Credit Comparison'!E17)))</x:f>
        <x:v>0.17142857142857143</x:v>
      </x:c>
      <x:c r="C17" s="903" t="str">
        <x:v>Higher is better</x:v>
      </x:c>
      <x:c r="D17" s="904" t="n">
        <x:f>11-2*IF($C$4="Entity A",'Credit Comparison'!B24,IF($C$4="Entity B",'Credit Comparison'!C24,IF($C$4="Entity C",'Credit Comparison'!D24,'Credit Comparison'!E24)))</x:f>
        <x:v>7</x:v>
      </x:c>
      <x:c r="E17" s="905" t="n">
        <x:v>0.15</x:v>
      </x:c>
      <x:c r="F17" s="906" t="str">
        <x:v>Profitability</x:v>
      </x:c>
      <x:c r="G17" s="847"/>
      <x:c r="H17" s="847"/>
      <x:c r="I17" s="847"/>
      <x:c r="J17" s="847"/>
      <x:c r="K17" s="847"/>
      <x:c r="L17" s="847"/>
      <x:c r="M17" s="847"/>
      <x:c r="N17" s="847"/>
    </x:row>
    <x:row r="18">
      <x:c r="A18" s="901" t="str">
        <x:v>Net debt / EBITDA</x:v>
      </x:c>
      <x:c r="B18" s="907" t="n">
        <x:f>IF($C$4="Entity A",'Credit Comparison'!B18,IF($C$4="Entity B",'Credit Comparison'!C18,IF($C$4="Entity C",'Credit Comparison'!D18,'Credit Comparison'!E18)))</x:f>
        <x:v>1.6527777777777777</x:v>
      </x:c>
      <x:c r="C18" s="903" t="str">
        <x:v>Lower is better</x:v>
      </x:c>
      <x:c r="D18" s="904" t="n">
        <x:f>11-2*IF($C$4="Entity A",'Credit Comparison'!B25,IF($C$4="Entity B",'Credit Comparison'!C25,IF($C$4="Entity C",'Credit Comparison'!D25,'Credit Comparison'!E25)))</x:f>
        <x:v>5</x:v>
      </x:c>
      <x:c r="E18" s="905" t="n">
        <x:v>0.15</x:v>
      </x:c>
      <x:c r="F18" s="906" t="str">
        <x:v>Net leverage</x:v>
      </x:c>
      <x:c r="G18" s="847"/>
      <x:c r="H18" s="847"/>
      <x:c r="I18" s="847"/>
      <x:c r="J18" s="847"/>
      <x:c r="K18" s="847"/>
      <x:c r="L18" s="847"/>
      <x:c r="M18" s="847"/>
      <x:c r="N18" s="847"/>
    </x:row>
    <x:row r="19">
      <x:c r="A19" s="901" t="str">
        <x:v>Return on assets</x:v>
      </x:c>
      <x:c r="B19" s="902" t="n">
        <x:f>IF($C$4="Entity A",'Credit Comparison'!B19,IF($C$4="Entity B",'Credit Comparison'!C19,IF($C$4="Entity C",'Credit Comparison'!D19,'Credit Comparison'!E19)))</x:f>
        <x:v>0.06229508196721312</x:v>
      </x:c>
      <x:c r="C19" s="903" t="str">
        <x:v>Higher is better</x:v>
      </x:c>
      <x:c r="D19" s="904" t="n">
        <x:f>11-2*IF($C$4="Entity A",'Credit Comparison'!B26,IF($C$4="Entity B",'Credit Comparison'!C26,IF($C$4="Entity C",'Credit Comparison'!D26,'Credit Comparison'!E26)))</x:f>
        <x:v>5</x:v>
      </x:c>
      <x:c r="E19" s="905" t="n">
        <x:v>0.15</x:v>
      </x:c>
      <x:c r="F19" s="906" t="str">
        <x:v>Asset return</x:v>
      </x:c>
      <x:c r="G19" s="847"/>
      <x:c r="H19" s="847"/>
      <x:c r="I19" s="847"/>
      <x:c r="J19" s="847"/>
      <x:c r="K19" s="847"/>
      <x:c r="L19" s="847"/>
      <x:c r="M19" s="847"/>
      <x:c r="N19" s="847"/>
    </x:row>
    <x:row r="20">
      <x:c r="A20" s="901" t="str">
        <x:v>Cash conversion</x:v>
      </x:c>
      <x:c r="B20" s="902" t="n">
        <x:f>IF($C$4="Entity A",'Credit Comparison'!B20,IF($C$4="Entity B",'Credit Comparison'!C20,IF($C$4="Entity C",'Credit Comparison'!D20,'Credit Comparison'!E20)))</x:f>
        <x:v>0.875</x:v>
      </x:c>
      <x:c r="C20" s="903" t="str">
        <x:v>Higher is better</x:v>
      </x:c>
      <x:c r="D20" s="904" t="n">
        <x:f>11-2*IF($C$4="Entity A",'Credit Comparison'!B27,IF($C$4="Entity B",'Credit Comparison'!C27,IF($C$4="Entity C",'Credit Comparison'!D27,'Credit Comparison'!E27)))</x:f>
        <x:v>7</x:v>
      </x:c>
      <x:c r="E20" s="905" t="n">
        <x:v>0.1</x:v>
      </x:c>
      <x:c r="F20" s="906" t="str">
        <x:v>Cash generation</x:v>
      </x:c>
      <x:c r="G20" s="847"/>
      <x:c r="H20" s="847"/>
      <x:c r="I20" s="847"/>
      <x:c r="J20" s="847"/>
      <x:c r="K20" s="847"/>
      <x:c r="L20" s="847"/>
      <x:c r="M20" s="847"/>
      <x:c r="N20" s="847"/>
    </x:row>
    <x:row r="21">
      <x:c r="A21" s="901" t="str">
        <x:v>Return on equity</x:v>
      </x:c>
      <x:c r="B21" s="902" t="n">
        <x:f>IF($C$4="Entity A",'Credit Comparison'!B12,IF($C$4="Entity B",'Credit Comparison'!C12,IF($C$4="Entity C",'Credit Comparison'!D12,'Credit Comparison'!E12)))/IF($C$4="Entity A",'Credit Comparison'!B10,IF($C$4="Entity B",'Credit Comparison'!C10,IF($C$4="Entity C",'Credit Comparison'!D10,'Credit Comparison'!E10)))</x:f>
        <x:v>0.15510204081632653</x:v>
      </x:c>
      <x:c r="C21" s="903" t="str">
        <x:v>Higher is better</x:v>
      </x:c>
      <x:c r="D21" s="904" t="n">
        <x:f>IF(B21&gt;=20%,9,IF(B21&gt;=12%,7,IF(B21&gt;=7%,5,IF(B21&gt;=3%,3,1))))</x:f>
        <x:v>7</x:v>
      </x:c>
      <x:c r="E21" s="905" t="n">
        <x:v>0.15</x:v>
      </x:c>
      <x:c r="F21" s="906" t="str">
        <x:v>Equity return</x:v>
      </x:c>
      <x:c r="G21" s="847"/>
      <x:c r="H21" s="847"/>
      <x:c r="I21" s="847"/>
      <x:c r="J21" s="847"/>
      <x:c r="K21" s="847"/>
      <x:c r="L21" s="847"/>
      <x:c r="M21" s="847"/>
      <x:c r="N21" s="847"/>
    </x:row>
    <x:row r="22">
      <x:c r="A22" s="908" t="str">
        <x:v>Liabilities / net equity</x:v>
      </x:c>
      <x:c r="B22" s="909" t="n">
        <x:f>(IF($C$4="Entity A",'Credit Comparison'!B9,IF($C$4="Entity B",'Credit Comparison'!C9,IF($C$4="Entity C",'Credit Comparison'!D9,'Credit Comparison'!E9)))-IF($C$4="Entity A",'Credit Comparison'!B10,IF($C$4="Entity B",'Credit Comparison'!C10,IF($C$4="Entity C",'Credit Comparison'!D10,'Credit Comparison'!E10))))/IF($C$4="Entity A",'Credit Comparison'!B10,IF($C$4="Entity B",'Credit Comparison'!C10,IF($C$4="Entity C",'Credit Comparison'!D10,'Credit Comparison'!E10)))</x:f>
        <x:v>1.489795918367347</x:v>
      </x:c>
      <x:c r="C22" s="910" t="str">
        <x:v>Lower is better</x:v>
      </x:c>
      <x:c r="D22" s="911" t="n">
        <x:f>IF(B22&lt;=100%,9,IF(B22&lt;=150%,7,IF(B22&lt;=200%,5,IF(B22&lt;=300%,3,1))))</x:f>
        <x:v>7</x:v>
      </x:c>
      <x:c r="E22" s="912" t="n">
        <x:v>0.15</x:v>
      </x:c>
      <x:c r="F22" s="913" t="str">
        <x:v>Balance-sheet leverage</x:v>
      </x:c>
      <x:c r="G22" s="847"/>
      <x:c r="H22" s="847"/>
      <x:c r="I22" s="847"/>
      <x:c r="J22" s="847"/>
      <x:c r="K22" s="847"/>
      <x:c r="L22" s="847"/>
      <x:c r="M22" s="847"/>
      <x:c r="N22" s="847"/>
    </x:row>
    <x:row r="23">
      <x:c r="A23" s="847"/>
      <x:c r="B23" s="847"/>
      <x:c r="C23" s="847"/>
      <x:c r="D23" s="847"/>
      <x:c r="E23" s="847"/>
      <x:c r="F23" s="847"/>
      <x:c r="G23" s="847"/>
      <x:c r="H23" s="847"/>
      <x:c r="I23" s="847"/>
      <x:c r="J23" s="847"/>
      <x:c r="K23" s="847"/>
      <x:c r="L23" s="847"/>
      <x:c r="M23" s="847"/>
      <x:c r="N23" s="847"/>
    </x:row>
    <x:row r="24">
      <x:c r="A24" s="847"/>
      <x:c r="B24" s="847"/>
      <x:c r="C24" s="847"/>
      <x:c r="D24" s="847"/>
      <x:c r="E24" s="847"/>
      <x:c r="F24" s="847"/>
      <x:c r="G24" s="847"/>
      <x:c r="H24" s="847"/>
      <x:c r="I24" s="847"/>
      <x:c r="J24" s="847"/>
      <x:c r="K24" s="847"/>
      <x:c r="L24" s="847"/>
      <x:c r="M24" s="847"/>
      <x:c r="N24" s="847"/>
    </x:row>
    <x:row r="25" ht="24" customHeight="1">
      <x:c r="A25" s="856" t="str">
        <x:v>Illustrative financial profile — GBP millions</x:v>
      </x:c>
      <x:c r="B25" s="856"/>
      <x:c r="C25" s="856"/>
      <x:c r="D25" s="856"/>
      <x:c r="E25" s="856"/>
      <x:c r="F25" s="856"/>
      <x:c r="G25" s="847"/>
      <x:c r="H25" s="847"/>
      <x:c r="I25" s="847"/>
      <x:c r="J25" s="847"/>
      <x:c r="K25" s="847"/>
      <x:c r="L25" s="847"/>
      <x:c r="M25" s="847"/>
      <x:c r="N25" s="847"/>
    </x:row>
    <x:row r="26" ht="24" customHeight="1">
      <x:c r="A26" s="892" t="str">
        <x:v>Metric</x:v>
      </x:c>
      <x:c r="B26" s="893" t="str">
        <x:v>Year T</x:v>
      </x:c>
      <x:c r="C26" s="893" t="str">
        <x:v>Synthetic Year T−1</x:v>
      </x:c>
      <x:c r="D26" s="893" t="str">
        <x:v>Change</x:v>
      </x:c>
      <x:c r="E26" s="893" t="str">
        <x:v>Trend</x:v>
      </x:c>
      <x:c r="F26" s="894" t="str">
        <x:v>Source control</x:v>
      </x:c>
      <x:c r="G26" s="847"/>
      <x:c r="H26" s="847"/>
      <x:c r="I26" s="847"/>
      <x:c r="J26" s="847"/>
      <x:c r="K26" s="847"/>
      <x:c r="L26" s="847"/>
      <x:c r="M26" s="847"/>
      <x:c r="N26" s="847"/>
    </x:row>
    <x:row r="27">
      <x:c r="A27" s="914" t="str">
        <x:v>Revenue</x:v>
      </x:c>
      <x:c r="B27" s="915" t="n">
        <x:f>IF($C$4="Entity A",'Credit Comparison'!B5,IF($C$4="Entity B",'Credit Comparison'!C5,IF($C$4="Entity C",'Credit Comparison'!D5,'Credit Comparison'!E5)))</x:f>
        <x:v>420</x:v>
      </x:c>
      <x:c r="C27" s="915" t="n">
        <x:f>B27*0.94</x:f>
        <x:v>394.79999999999995</x:v>
      </x:c>
      <x:c r="D27" s="916" t="n">
        <x:f>(B27-C27)/C27</x:f>
        <x:v>0.06382978723404267</x:v>
      </x:c>
      <x:c r="E27" s="917" t="str">
        <x:f>IF(D27&gt;=0,"Improving","Weakening")</x:f>
        <x:v>Improving</x:v>
      </x:c>
      <x:c r="F27" s="918" t="str">
        <x:v>Fictional demo</x:v>
      </x:c>
      <x:c r="G27" s="847"/>
      <x:c r="H27" s="847"/>
      <x:c r="I27" s="847"/>
      <x:c r="J27" s="847"/>
      <x:c r="K27" s="847"/>
      <x:c r="L27" s="847"/>
      <x:c r="M27" s="847"/>
      <x:c r="N27" s="847"/>
    </x:row>
    <x:row r="28">
      <x:c r="A28" s="919" t="str">
        <x:v>EBITDA</x:v>
      </x:c>
      <x:c r="B28" s="920" t="n">
        <x:f>IF($C$4="Entity A",'Credit Comparison'!B6,IF($C$4="Entity B",'Credit Comparison'!C6,IF($C$4="Entity C",'Credit Comparison'!D6,'Credit Comparison'!E6)))</x:f>
        <x:v>72</x:v>
      </x:c>
      <x:c r="C28" s="920" t="n">
        <x:f>B28*0.93</x:f>
        <x:v>66.96000000000001</x:v>
      </x:c>
      <x:c r="D28" s="921" t="n">
        <x:f>(B28-C28)/C28</x:f>
        <x:v>0.07526881720430095</x:v>
      </x:c>
      <x:c r="E28" s="922" t="str">
        <x:f>IF(D28&gt;=0,"Improving","Weakening")</x:f>
        <x:v>Improving</x:v>
      </x:c>
      <x:c r="F28" s="923" t="str">
        <x:v>Fictional demo</x:v>
      </x:c>
      <x:c r="G28" s="847"/>
      <x:c r="H28" s="847"/>
      <x:c r="I28" s="847"/>
      <x:c r="J28" s="847"/>
      <x:c r="K28" s="847"/>
      <x:c r="L28" s="847"/>
      <x:c r="M28" s="847"/>
      <x:c r="N28" s="847"/>
    </x:row>
    <x:row r="29">
      <x:c r="A29" s="919" t="str">
        <x:v>Cash</x:v>
      </x:c>
      <x:c r="B29" s="920" t="n">
        <x:f>IF($C$4="Entity A",'Credit Comparison'!B7,IF($C$4="Entity B",'Credit Comparison'!C7,IF($C$4="Entity C",'Credit Comparison'!D7,'Credit Comparison'!E7)))</x:f>
        <x:v>96</x:v>
      </x:c>
      <x:c r="C29" s="920" t="n">
        <x:f>B29*0.91</x:f>
        <x:v>87.36</x:v>
      </x:c>
      <x:c r="D29" s="921" t="n">
        <x:f>(B29-C29)/C29</x:f>
        <x:v>0.09890109890109891</x:v>
      </x:c>
      <x:c r="E29" s="922" t="str">
        <x:f>IF(D29&gt;=0,"Improving","Weakening")</x:f>
        <x:v>Improving</x:v>
      </x:c>
      <x:c r="F29" s="923" t="str">
        <x:v>Fictional demo</x:v>
      </x:c>
      <x:c r="G29" s="847"/>
      <x:c r="H29" s="847"/>
      <x:c r="I29" s="847"/>
      <x:c r="J29" s="847"/>
      <x:c r="K29" s="847"/>
      <x:c r="L29" s="847"/>
      <x:c r="M29" s="847"/>
      <x:c r="N29" s="847"/>
    </x:row>
    <x:row r="30">
      <x:c r="A30" s="919" t="str">
        <x:v>Total debt</x:v>
      </x:c>
      <x:c r="B30" s="920" t="n">
        <x:f>IF($C$4="Entity A",'Credit Comparison'!B8,IF($C$4="Entity B",'Credit Comparison'!C8,IF($C$4="Entity C",'Credit Comparison'!D8,'Credit Comparison'!E8)))</x:f>
        <x:v>215</x:v>
      </x:c>
      <x:c r="C30" s="920" t="n">
        <x:f>B30*0.97</x:f>
        <x:v>208.54999999999998</x:v>
      </x:c>
      <x:c r="D30" s="921" t="n">
        <x:f>(B30-C30)/C30</x:f>
        <x:v>0.030927835051546476</x:v>
      </x:c>
      <x:c r="E30" s="922" t="str">
        <x:f>IF(D30&gt;=0,"Improving","Weakening")</x:f>
        <x:v>Improving</x:v>
      </x:c>
      <x:c r="F30" s="923" t="str">
        <x:v>Fictional demo</x:v>
      </x:c>
      <x:c r="G30" s="847"/>
      <x:c r="H30" s="847"/>
      <x:c r="I30" s="847"/>
      <x:c r="J30" s="847"/>
      <x:c r="K30" s="847"/>
      <x:c r="L30" s="847"/>
      <x:c r="M30" s="847"/>
      <x:c r="N30" s="847"/>
    </x:row>
    <x:row r="31">
      <x:c r="A31" s="919" t="str">
        <x:v>Total assets</x:v>
      </x:c>
      <x:c r="B31" s="920" t="n">
        <x:f>IF($C$4="Entity A",'Credit Comparison'!B9,IF($C$4="Entity B",'Credit Comparison'!C9,IF($C$4="Entity C",'Credit Comparison'!D9,'Credit Comparison'!E9)))</x:f>
        <x:v>610</x:v>
      </x:c>
      <x:c r="C31" s="920" t="n">
        <x:f>B31*0.95</x:f>
        <x:v>579.5</x:v>
      </x:c>
      <x:c r="D31" s="921" t="n">
        <x:f>(B31-C31)/C31</x:f>
        <x:v>0.05263157894736842</x:v>
      </x:c>
      <x:c r="E31" s="922" t="str">
        <x:f>IF(D31&gt;=0,"Improving","Weakening")</x:f>
        <x:v>Improving</x:v>
      </x:c>
      <x:c r="F31" s="923" t="str">
        <x:v>Fictional demo</x:v>
      </x:c>
      <x:c r="G31" s="847"/>
      <x:c r="H31" s="847"/>
      <x:c r="I31" s="847"/>
      <x:c r="J31" s="847"/>
      <x:c r="K31" s="847"/>
      <x:c r="L31" s="847"/>
      <x:c r="M31" s="847"/>
      <x:c r="N31" s="847"/>
    </x:row>
    <x:row r="32">
      <x:c r="A32" s="919" t="str">
        <x:v>Net equity</x:v>
      </x:c>
      <x:c r="B32" s="920" t="n">
        <x:f>IF($C$4="Entity A",'Credit Comparison'!B10,IF($C$4="Entity B",'Credit Comparison'!C10,IF($C$4="Entity C",'Credit Comparison'!D10,'Credit Comparison'!E10)))</x:f>
        <x:v>245</x:v>
      </x:c>
      <x:c r="C32" s="920" t="n">
        <x:f>B32*0.94</x:f>
        <x:v>230.29999999999998</x:v>
      </x:c>
      <x:c r="D32" s="921" t="n">
        <x:f>(B32-C32)/C32</x:f>
        <x:v>0.06382978723404263</x:v>
      </x:c>
      <x:c r="E32" s="922" t="str">
        <x:f>IF(D32&gt;=0,"Improving","Weakening")</x:f>
        <x:v>Improving</x:v>
      </x:c>
      <x:c r="F32" s="923" t="str">
        <x:v>Fictional demo</x:v>
      </x:c>
      <x:c r="G32" s="847"/>
      <x:c r="H32" s="847"/>
      <x:c r="I32" s="847"/>
      <x:c r="J32" s="847"/>
      <x:c r="K32" s="847"/>
      <x:c r="L32" s="847"/>
      <x:c r="M32" s="847"/>
      <x:c r="N32" s="847"/>
    </x:row>
    <x:row r="33">
      <x:c r="A33" s="924" t="str">
        <x:v>Net profit</x:v>
      </x:c>
      <x:c r="B33" s="925" t="n">
        <x:f>IF($C$4="Entity A",'Credit Comparison'!B12,IF($C$4="Entity B",'Credit Comparison'!C12,IF($C$4="Entity C",'Credit Comparison'!D12,'Credit Comparison'!E12)))</x:f>
        <x:v>38</x:v>
      </x:c>
      <x:c r="C33" s="925" t="n">
        <x:f>B33*0.88</x:f>
        <x:v>33.44</x:v>
      </x:c>
      <x:c r="D33" s="926" t="n">
        <x:f>(B33-C33)/C33</x:f>
        <x:v>0.13636363636363644</x:v>
      </x:c>
      <x:c r="E33" s="927" t="str">
        <x:f>IF(D33&gt;=0,"Improving","Weakening")</x:f>
        <x:v>Improving</x:v>
      </x:c>
      <x:c r="F33" s="928" t="str">
        <x:v>Fictional demo</x:v>
      </x:c>
      <x:c r="G33" s="847"/>
      <x:c r="H33" s="847"/>
      <x:c r="I33" s="847"/>
      <x:c r="J33" s="847"/>
      <x:c r="K33" s="847"/>
      <x:c r="L33" s="847"/>
      <x:c r="M33" s="847"/>
      <x:c r="N33" s="847"/>
    </x:row>
    <x:row r="34">
      <x:c r="A34" s="847"/>
      <x:c r="B34" s="847"/>
      <x:c r="C34" s="847"/>
      <x:c r="D34" s="847"/>
      <x:c r="E34" s="847"/>
      <x:c r="F34" s="847"/>
      <x:c r="G34" s="847"/>
      <x:c r="H34" s="847"/>
      <x:c r="I34" s="847"/>
      <x:c r="J34" s="847"/>
      <x:c r="K34" s="847"/>
      <x:c r="L34" s="847"/>
      <x:c r="M34" s="847"/>
      <x:c r="N34" s="847"/>
    </x:row>
    <x:row r="35" ht="24" customHeight="1">
      <x:c r="A35" s="856" t="str">
        <x:v>Fictional peer ICS comparison</x:v>
      </x:c>
      <x:c r="B35" s="856"/>
      <x:c r="C35" s="856"/>
      <x:c r="D35" s="856"/>
      <x:c r="E35" s="856"/>
      <x:c r="F35" s="847"/>
      <x:c r="G35" s="847"/>
      <x:c r="H35" s="847"/>
      <x:c r="I35" s="847"/>
      <x:c r="J35" s="847"/>
      <x:c r="K35" s="847"/>
      <x:c r="L35" s="847"/>
      <x:c r="M35" s="847"/>
      <x:c r="N35" s="847"/>
    </x:row>
    <x:row r="36" ht="24" customHeight="1">
      <x:c r="A36" s="929" t="str">
        <x:v>Entity</x:v>
      </x:c>
      <x:c r="B36" s="930" t="str">
        <x:v>Final ICS</x:v>
      </x:c>
      <x:c r="C36" s="847"/>
      <x:c r="D36" s="847"/>
      <x:c r="E36" s="847"/>
      <x:c r="F36" s="847"/>
      <x:c r="G36" s="847"/>
      <x:c r="H36" s="847"/>
      <x:c r="I36" s="847"/>
      <x:c r="J36" s="847"/>
      <x:c r="K36" s="847"/>
      <x:c r="L36" s="847"/>
      <x:c r="M36" s="847"/>
      <x:c r="N36" s="847"/>
    </x:row>
    <x:row r="37">
      <x:c r="A37" s="931" t="str">
        <x:v>Entity A</x:v>
      </x:c>
      <x:c r="B37" s="932" t="n">
        <x:f>ROUND(MAX(1,MIN(10,(10-(AVERAGE('Credit Comparison'!B23:B27)-1)*2.25+IF($G$4="Stress",-1.2,IF($G$4="Upside",0.5,0)))*70%+(10-('Credit Comparison'!B29-1)*2.25)*30%+IF($C$4=A37,$K$4,0))),1)</x:f>
        <x:v>6.5</x:v>
      </x:c>
      <x:c r="C37" s="847"/>
      <x:c r="D37" s="847"/>
      <x:c r="E37" s="847"/>
      <x:c r="F37" s="847"/>
      <x:c r="G37" s="847"/>
      <x:c r="H37" s="847"/>
      <x:c r="I37" s="847"/>
      <x:c r="J37" s="847"/>
      <x:c r="K37" s="847"/>
      <x:c r="L37" s="847"/>
      <x:c r="M37" s="847"/>
      <x:c r="N37" s="847"/>
    </x:row>
    <x:row r="38">
      <x:c r="A38" s="931" t="str">
        <x:v>Entity B</x:v>
      </x:c>
      <x:c r="B38" s="933" t="n">
        <x:f>ROUND(MAX(1,MIN(10,(10-(AVERAGE('Credit Comparison'!C23:C27)-1)*2.25+IF($G$4="Stress",-1.2,IF($G$4="Upside",0.5,0)))*70%+(10-('Credit Comparison'!C29-1)*2.25)*30%+IF($C$4=A38,$K$4,0))),1)</x:f>
        <x:v>4.4</x:v>
      </x:c>
      <x:c r="C38" s="847"/>
      <x:c r="D38" s="847"/>
      <x:c r="E38" s="847"/>
      <x:c r="F38" s="847"/>
      <x:c r="G38" s="847"/>
      <x:c r="H38" s="847"/>
      <x:c r="I38" s="847"/>
      <x:c r="J38" s="847"/>
      <x:c r="K38" s="847"/>
      <x:c r="L38" s="847"/>
      <x:c r="M38" s="847"/>
      <x:c r="N38" s="847"/>
    </x:row>
    <x:row r="39">
      <x:c r="A39" s="931" t="str">
        <x:v>Entity C</x:v>
      </x:c>
      <x:c r="B39" s="933" t="n">
        <x:f>ROUND(MAX(1,MIN(10,(10-(AVERAGE('Credit Comparison'!D23:D27)-1)*2.25+IF($G$4="Stress",-1.2,IF($G$4="Upside",0.5,0)))*70%+(10-('Credit Comparison'!D29-1)*2.25)*30%+IF($C$4=A39,$K$4,0))),1)</x:f>
        <x:v>7.3</x:v>
      </x:c>
      <x:c r="C39" s="847"/>
      <x:c r="D39" s="847"/>
      <x:c r="E39" s="847"/>
      <x:c r="F39" s="847"/>
      <x:c r="G39" s="847"/>
      <x:c r="H39" s="847"/>
      <x:c r="I39" s="847"/>
      <x:c r="J39" s="847"/>
      <x:c r="K39" s="847"/>
      <x:c r="L39" s="847"/>
      <x:c r="M39" s="847"/>
      <x:c r="N39" s="847"/>
    </x:row>
    <x:row r="40">
      <x:c r="A40" s="934" t="str">
        <x:v>Entity D</x:v>
      </x:c>
      <x:c r="B40" s="935" t="n">
        <x:f>ROUND(MAX(1,MIN(10,(10-(AVERAGE('Credit Comparison'!E23:E27)-1)*2.25+IF($G$4="Stress",-1.2,IF($G$4="Upside",0.5,0)))*70%+(10-('Credit Comparison'!E29-1)*2.25)*30%+IF($C$4=A40,$K$4,0))),1)</x:f>
        <x:v>2.2</x:v>
      </x:c>
      <x:c r="C40" s="847"/>
      <x:c r="D40" s="847"/>
      <x:c r="E40" s="847"/>
      <x:c r="F40" s="847"/>
      <x:c r="G40" s="847"/>
      <x:c r="H40" s="847"/>
      <x:c r="I40" s="847"/>
      <x:c r="J40" s="847"/>
      <x:c r="K40" s="847"/>
      <x:c r="L40" s="847"/>
      <x:c r="M40" s="847"/>
      <x:c r="N40" s="847"/>
    </x:row>
    <x:row r="41">
      <x:c r="A41" s="847"/>
      <x:c r="B41" s="847"/>
      <x:c r="C41" s="847"/>
      <x:c r="D41" s="847"/>
      <x:c r="E41" s="847"/>
      <x:c r="F41" s="847"/>
      <x:c r="G41" s="847"/>
      <x:c r="H41" s="847"/>
      <x:c r="I41" s="847"/>
      <x:c r="J41" s="847"/>
      <x:c r="K41" s="847"/>
      <x:c r="L41" s="847"/>
      <x:c r="M41" s="847"/>
      <x:c r="N41" s="847"/>
    </x:row>
    <x:row r="42" ht="24" customHeight="1">
      <x:c r="A42" s="936" t="str">
        <x:v>Model boundary and governance: ICS is an illustrative internal score, not an external credit rating, lending decision or investment recommendation. Entity A–D and every number are fictional. Production use requires client calibration, independent validation and approval, authoritative data lineage, documented overrides, monitoring, access controls and periodic performance review.</x:v>
      </x:c>
      <x:c r="B42" s="937"/>
      <x:c r="C42" s="937"/>
      <x:c r="D42" s="937"/>
      <x:c r="E42" s="937"/>
      <x:c r="F42" s="937"/>
      <x:c r="G42" s="937"/>
      <x:c r="H42" s="937"/>
      <x:c r="I42" s="937"/>
      <x:c r="J42" s="937"/>
      <x:c r="K42" s="937"/>
      <x:c r="L42" s="937"/>
      <x:c r="M42" s="937"/>
      <x:c r="N42" s="938"/>
    </x:row>
    <x:row r="43" ht="24" customHeight="1">
      <x:c r="A43" s="939"/>
      <x:c r="B43" s="940"/>
      <x:c r="C43" s="940"/>
      <x:c r="D43" s="940"/>
      <x:c r="E43" s="940"/>
      <x:c r="F43" s="940"/>
      <x:c r="G43" s="940"/>
      <x:c r="H43" s="940"/>
      <x:c r="I43" s="940"/>
      <x:c r="J43" s="940"/>
      <x:c r="K43" s="940"/>
      <x:c r="L43" s="940"/>
      <x:c r="M43" s="940"/>
      <x:c r="N43" s="941"/>
    </x:row>
    <x:row r="44" ht="24" customHeight="1">
      <x:c r="A44" s="942"/>
      <x:c r="B44" s="943"/>
      <x:c r="C44" s="943"/>
      <x:c r="D44" s="943"/>
      <x:c r="E44" s="943"/>
      <x:c r="F44" s="943"/>
      <x:c r="G44" s="943"/>
      <x:c r="H44" s="943"/>
      <x:c r="I44" s="943"/>
      <x:c r="J44" s="943"/>
      <x:c r="K44" s="943"/>
      <x:c r="L44" s="943"/>
      <x:c r="M44" s="943"/>
      <x:c r="N44" s="944"/>
    </x:row>
  </x:sheetData>
  <x:mergeCells>
    <x:mergeCell ref="A1:K1"/>
    <x:mergeCell ref="A2:K2"/>
    <x:mergeCell ref="A4:B4"/>
    <x:mergeCell ref="C4:D4"/>
    <x:mergeCell ref="E4:F4"/>
    <x:mergeCell ref="G4:H4"/>
    <x:mergeCell ref="I4:J4"/>
    <x:mergeCell ref="K4:L4"/>
    <x:mergeCell ref="M4:N4"/>
    <x:mergeCell ref="A6:F6"/>
    <x:mergeCell ref="A7:B7"/>
    <x:mergeCell ref="A8:B8"/>
    <x:mergeCell ref="A9:B9"/>
    <x:mergeCell ref="A10:B10"/>
    <x:mergeCell ref="A11:B11"/>
    <x:mergeCell ref="C7:D7"/>
    <x:mergeCell ref="C8:D8"/>
    <x:mergeCell ref="C9:D9"/>
    <x:mergeCell ref="C10:D10"/>
    <x:mergeCell ref="C11:D11"/>
    <x:mergeCell ref="E7:F7"/>
    <x:mergeCell ref="E8:F11"/>
    <x:mergeCell ref="H6:N6"/>
    <x:mergeCell ref="H7:J7"/>
    <x:mergeCell ref="H8:J8"/>
    <x:mergeCell ref="H9:J9"/>
    <x:mergeCell ref="H10:J10"/>
    <x:mergeCell ref="H11:J11"/>
    <x:mergeCell ref="K7:N7"/>
    <x:mergeCell ref="K8:N8"/>
    <x:mergeCell ref="K9:N9"/>
    <x:mergeCell ref="K10:N10"/>
    <x:mergeCell ref="K11:N11"/>
    <x:mergeCell ref="A14:F14"/>
    <x:mergeCell ref="A25:F25"/>
    <x:mergeCell ref="A35:E35"/>
    <x:mergeCell ref="A42:N44"/>
  </x:mergeCells>
  <x:conditionalFormatting sqref="D16:D22">
    <x:cfRule type="colorScale" priority="1">
      <x:colorScale>
        <x:cfvo type="min"/>
        <x:cfvo type="percentile" val="50"/>
        <x:cfvo type="max"/>
        <x:color rgb="FFFBE3DF"/>
        <x:color rgb="FFFFF0C5"/>
        <x:color rgb="FFDDF3E7"/>
      </x:colorScale>
    </x:cfRule>
  </x:conditionalFormatting>
  <x:conditionalFormatting sqref="D27:D33">
    <x:cfRule type="colorScale" priority="2">
      <x:colorScale>
        <x:cfvo type="min"/>
        <x:cfvo type="percentile" val="50"/>
        <x:cfvo type="max"/>
        <x:color rgb="FFFBE3DF"/>
        <x:color rgb="FFFFF0C5"/>
        <x:color rgb="FFDDF3E7"/>
      </x:colorScale>
    </x:cfRule>
  </x:conditionalFormatting>
  <x:dataValidations count="3">
    <x:dataValidation type="list" sqref="C4:D4">
      <x:formula1>"Entity A,Entity B,Entity C,Entity D"</x:formula1>
    </x:dataValidation>
    <x:dataValidation type="list" sqref="G4:H4">
      <x:formula1>"Base,Stress,Upside"</x:formula1>
    </x:dataValidation>
    <x:dataValidation type="list" sqref="K4:L4">
      <x:formula1>"-1,-0.5,0,0.5,1"</x:formula1>
    </x:dataValidation>
  </x:dataValidations>
  <x:pageMargins left="0.7" right="0.7" top="0.75" bottom="0.75" header="0.3" footer="0.3"/>
  <x:drawing xmlns:r="http://schemas.openxmlformats.org/officeDocument/2006/relationships" r:id="R2a5b3373eed447d8"/>
</x:worksheet>
</file>